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mc:AlternateContent xmlns:mc="http://schemas.openxmlformats.org/markup-compatibility/2006">
    <mc:Choice Requires="x15">
      <x15ac:absPath xmlns:x15ac="http://schemas.microsoft.com/office/spreadsheetml/2010/11/ac" url="https://d.docs.live.net/3d97c270e6709578/Desktop/BOVESPA/"/>
    </mc:Choice>
  </mc:AlternateContent>
  <xr:revisionPtr revIDLastSave="1539" documentId="13_ncr:1_{01358AC0-EC85-4772-AD1B-84BCA89A4DB7}" xr6:coauthVersionLast="47" xr6:coauthVersionMax="47" xr10:uidLastSave="{F21DA841-A553-473A-805A-34250B135759}"/>
  <bookViews>
    <workbookView xWindow="-120" yWindow="-120" windowWidth="20730" windowHeight="11160" activeTab="1" xr2:uid="{00000000-000D-0000-FFFF-FFFF00000000}"/>
  </bookViews>
  <sheets>
    <sheet name="Bovespa" sheetId="1" r:id="rId1"/>
    <sheet name="Streamlit" sheetId="9" r:id="rId2"/>
    <sheet name="Fundamentus" sheetId="6" r:id="rId3"/>
    <sheet name="Planilha1" sheetId="4" r:id="rId4"/>
    <sheet name="Planilha2" sheetId="3" r:id="rId5"/>
  </sheets>
  <definedNames>
    <definedName name="_xlnm._FilterDatabase" localSheetId="0" hidden="1">Bovespa!$A$4:$FL$270</definedName>
    <definedName name="_xlnm._FilterDatabase" localSheetId="2"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4" l="1"/>
  <c r="K9" i="4"/>
  <c r="EA65" i="1" a="1"/>
  <c r="EA65" i="1" s="1"/>
  <c r="EA204" i="1" a="1"/>
  <c r="EA204" i="1" s="1"/>
  <c r="EA123" i="1" a="1"/>
  <c r="EA123" i="1" s="1"/>
  <c r="EA157" i="1" a="1"/>
  <c r="EA157" i="1" s="1"/>
  <c r="BG3" i="1" a="1"/>
  <c r="BG3" i="1" s="1"/>
  <c r="CC7" i="1"/>
  <c r="CC8" i="1"/>
  <c r="CC9" i="1"/>
  <c r="CC10" i="1"/>
  <c r="CC11" i="1"/>
  <c r="CC12" i="1"/>
  <c r="CC13" i="1"/>
  <c r="CC14" i="1"/>
  <c r="CC15" i="1"/>
  <c r="CC16" i="1"/>
  <c r="CC17" i="1"/>
  <c r="CC18" i="1"/>
  <c r="CC19" i="1"/>
  <c r="CC20" i="1"/>
  <c r="CC21" i="1"/>
  <c r="CC22" i="1"/>
  <c r="CC23" i="1"/>
  <c r="CC24" i="1"/>
  <c r="CC25" i="1"/>
  <c r="CC26" i="1"/>
  <c r="CC27" i="1"/>
  <c r="CC28" i="1"/>
  <c r="CC29" i="1"/>
  <c r="CC30" i="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102" i="1"/>
  <c r="CC103" i="1"/>
  <c r="CC104" i="1"/>
  <c r="CC105" i="1"/>
  <c r="CC106" i="1"/>
  <c r="CC107" i="1"/>
  <c r="CC108" i="1"/>
  <c r="CC109" i="1"/>
  <c r="CC110" i="1"/>
  <c r="CC111" i="1"/>
  <c r="CC112" i="1"/>
  <c r="CC113" i="1"/>
  <c r="CC114" i="1"/>
  <c r="CC115" i="1"/>
  <c r="CC116" i="1"/>
  <c r="CC117" i="1"/>
  <c r="CC118" i="1"/>
  <c r="CC119" i="1"/>
  <c r="CC120" i="1"/>
  <c r="CC121" i="1"/>
  <c r="CC122" i="1"/>
  <c r="CC123" i="1"/>
  <c r="CC124" i="1"/>
  <c r="CC125" i="1"/>
  <c r="CC126" i="1"/>
  <c r="CC127" i="1"/>
  <c r="CC128" i="1"/>
  <c r="CC129" i="1"/>
  <c r="CC130" i="1"/>
  <c r="CC131" i="1"/>
  <c r="CC132" i="1"/>
  <c r="CC133" i="1"/>
  <c r="CC134" i="1"/>
  <c r="CC135" i="1"/>
  <c r="CC136" i="1"/>
  <c r="CC137" i="1"/>
  <c r="CC138" i="1"/>
  <c r="CC139" i="1"/>
  <c r="CC140" i="1"/>
  <c r="CC141" i="1"/>
  <c r="CC142" i="1"/>
  <c r="CC143" i="1"/>
  <c r="CC144" i="1"/>
  <c r="CC145" i="1"/>
  <c r="CC146" i="1"/>
  <c r="CC147" i="1"/>
  <c r="CC148" i="1"/>
  <c r="CC149" i="1"/>
  <c r="CC150" i="1"/>
  <c r="CC151" i="1"/>
  <c r="CC152" i="1"/>
  <c r="CC153" i="1"/>
  <c r="CC154" i="1"/>
  <c r="CC155" i="1"/>
  <c r="CC156" i="1"/>
  <c r="CC157" i="1"/>
  <c r="CC158" i="1"/>
  <c r="CC159" i="1"/>
  <c r="CC160" i="1"/>
  <c r="CC161" i="1"/>
  <c r="CC162" i="1"/>
  <c r="CC163" i="1"/>
  <c r="CC164" i="1"/>
  <c r="CC165" i="1"/>
  <c r="CC166" i="1"/>
  <c r="CC167" i="1"/>
  <c r="CC168" i="1"/>
  <c r="CC169" i="1"/>
  <c r="CC170" i="1"/>
  <c r="CC171" i="1"/>
  <c r="CC172" i="1"/>
  <c r="CC173" i="1"/>
  <c r="CC174" i="1"/>
  <c r="CC175" i="1"/>
  <c r="CC176" i="1"/>
  <c r="CC177" i="1"/>
  <c r="CC178" i="1"/>
  <c r="CC179" i="1"/>
  <c r="CC180" i="1"/>
  <c r="CC181" i="1"/>
  <c r="CC182" i="1"/>
  <c r="CC183" i="1"/>
  <c r="CC184" i="1"/>
  <c r="CC185" i="1"/>
  <c r="CC186" i="1"/>
  <c r="CC187" i="1"/>
  <c r="CC188" i="1"/>
  <c r="CC189" i="1"/>
  <c r="CC190" i="1"/>
  <c r="CC191" i="1"/>
  <c r="CC192" i="1"/>
  <c r="CC193" i="1"/>
  <c r="CC194" i="1"/>
  <c r="CC195" i="1"/>
  <c r="CC196" i="1"/>
  <c r="CC197" i="1"/>
  <c r="CC198" i="1"/>
  <c r="CC199" i="1"/>
  <c r="CC200" i="1"/>
  <c r="CC201" i="1"/>
  <c r="CC202" i="1"/>
  <c r="CC203" i="1"/>
  <c r="CC204" i="1"/>
  <c r="CC205" i="1"/>
  <c r="CC206" i="1"/>
  <c r="CC207" i="1"/>
  <c r="CC208" i="1"/>
  <c r="CC209" i="1"/>
  <c r="CC210" i="1"/>
  <c r="CC211" i="1"/>
  <c r="CC212" i="1"/>
  <c r="CC213" i="1"/>
  <c r="CC214" i="1"/>
  <c r="CC215" i="1"/>
  <c r="CC216" i="1"/>
  <c r="CC217" i="1"/>
  <c r="CC218" i="1"/>
  <c r="CC219" i="1"/>
  <c r="CC220" i="1"/>
  <c r="CC221" i="1"/>
  <c r="CC222" i="1"/>
  <c r="CC223" i="1"/>
  <c r="CC224" i="1"/>
  <c r="CC225" i="1"/>
  <c r="CC226" i="1"/>
  <c r="CC227" i="1"/>
  <c r="CC228" i="1"/>
  <c r="CC229" i="1"/>
  <c r="CC230" i="1"/>
  <c r="CC231" i="1"/>
  <c r="CC232" i="1"/>
  <c r="CC233" i="1"/>
  <c r="CC234" i="1"/>
  <c r="CC235" i="1"/>
  <c r="CC236" i="1"/>
  <c r="CC237" i="1"/>
  <c r="CC238" i="1"/>
  <c r="CC239" i="1"/>
  <c r="CC240" i="1"/>
  <c r="CC241" i="1"/>
  <c r="CC242" i="1"/>
  <c r="CC243" i="1"/>
  <c r="CC244" i="1"/>
  <c r="CC245" i="1"/>
  <c r="CC246" i="1"/>
  <c r="CC247" i="1"/>
  <c r="CC248" i="1"/>
  <c r="CC249" i="1"/>
  <c r="CC250" i="1"/>
  <c r="CC251" i="1"/>
  <c r="CC252" i="1"/>
  <c r="CC253" i="1"/>
  <c r="CC254" i="1"/>
  <c r="CC255" i="1"/>
  <c r="CC256" i="1"/>
  <c r="CC257" i="1"/>
  <c r="CC258" i="1"/>
  <c r="CC259" i="1"/>
  <c r="CC260" i="1"/>
  <c r="CC261" i="1"/>
  <c r="CC262" i="1"/>
  <c r="CC263" i="1"/>
  <c r="CC264" i="1"/>
  <c r="CC265" i="1"/>
  <c r="CC266" i="1"/>
  <c r="CC267" i="1"/>
  <c r="CC268" i="1"/>
  <c r="CC269" i="1"/>
  <c r="CC270" i="1"/>
  <c r="DU5" i="1"/>
  <c r="DU6" i="1"/>
  <c r="DU7" i="1"/>
  <c r="DU8" i="1"/>
  <c r="DU9" i="1"/>
  <c r="DU10" i="1"/>
  <c r="DU11" i="1"/>
  <c r="DU12" i="1"/>
  <c r="DU13" i="1"/>
  <c r="DU14" i="1"/>
  <c r="DU15" i="1"/>
  <c r="DU16" i="1"/>
  <c r="DU17" i="1"/>
  <c r="DU18" i="1"/>
  <c r="DU19" i="1"/>
  <c r="DU20" i="1"/>
  <c r="DU21" i="1"/>
  <c r="DU22" i="1"/>
  <c r="DU23" i="1"/>
  <c r="DU24" i="1"/>
  <c r="DU25" i="1"/>
  <c r="DU26" i="1"/>
  <c r="DU27" i="1"/>
  <c r="DU28" i="1"/>
  <c r="DU29" i="1"/>
  <c r="DU30" i="1"/>
  <c r="DU31" i="1"/>
  <c r="DU32" i="1"/>
  <c r="DU33" i="1"/>
  <c r="DU34" i="1"/>
  <c r="DU35" i="1"/>
  <c r="DU36" i="1"/>
  <c r="DU37" i="1"/>
  <c r="DU38" i="1"/>
  <c r="DU39" i="1"/>
  <c r="DU40" i="1"/>
  <c r="DU41" i="1"/>
  <c r="DU42" i="1"/>
  <c r="DU43" i="1"/>
  <c r="DU44" i="1"/>
  <c r="DU45" i="1"/>
  <c r="DU46" i="1"/>
  <c r="DU47" i="1"/>
  <c r="DU48" i="1"/>
  <c r="DU49" i="1"/>
  <c r="DU50" i="1"/>
  <c r="DU51" i="1"/>
  <c r="DU52" i="1"/>
  <c r="DU53" i="1"/>
  <c r="DU54" i="1"/>
  <c r="DU55" i="1"/>
  <c r="DU56" i="1"/>
  <c r="DU57" i="1"/>
  <c r="DU58" i="1"/>
  <c r="DU59" i="1"/>
  <c r="DU60" i="1"/>
  <c r="DU61" i="1"/>
  <c r="DU62" i="1"/>
  <c r="DU63" i="1"/>
  <c r="DU64" i="1"/>
  <c r="DU65" i="1"/>
  <c r="DU66" i="1"/>
  <c r="DU67" i="1"/>
  <c r="DU68" i="1"/>
  <c r="DU69" i="1"/>
  <c r="DU70" i="1"/>
  <c r="DU71" i="1"/>
  <c r="DU72" i="1"/>
  <c r="DU73" i="1"/>
  <c r="DU74" i="1"/>
  <c r="DU75" i="1"/>
  <c r="DU76" i="1"/>
  <c r="DU77" i="1"/>
  <c r="DU78" i="1"/>
  <c r="DU79" i="1"/>
  <c r="DU80" i="1"/>
  <c r="DU81" i="1"/>
  <c r="DU82" i="1"/>
  <c r="DU83" i="1"/>
  <c r="DU84" i="1"/>
  <c r="DU85" i="1"/>
  <c r="DU86" i="1"/>
  <c r="DU87" i="1"/>
  <c r="DU88" i="1"/>
  <c r="DU89" i="1"/>
  <c r="DU90" i="1"/>
  <c r="DU91" i="1"/>
  <c r="DU92" i="1"/>
  <c r="DU93" i="1"/>
  <c r="DU94" i="1"/>
  <c r="DU95" i="1"/>
  <c r="DU96" i="1"/>
  <c r="DU97" i="1"/>
  <c r="DU98" i="1"/>
  <c r="DU99" i="1"/>
  <c r="DU100" i="1"/>
  <c r="DU101" i="1"/>
  <c r="DU102" i="1"/>
  <c r="DU103" i="1"/>
  <c r="DU104" i="1"/>
  <c r="DU105" i="1"/>
  <c r="DU106" i="1"/>
  <c r="DU107" i="1"/>
  <c r="DU108" i="1"/>
  <c r="DU109" i="1"/>
  <c r="DU110" i="1"/>
  <c r="DU111" i="1"/>
  <c r="DU112" i="1"/>
  <c r="DU113" i="1"/>
  <c r="DU114" i="1"/>
  <c r="DU115" i="1"/>
  <c r="DU116" i="1"/>
  <c r="DU117" i="1"/>
  <c r="DU118" i="1"/>
  <c r="DU119" i="1"/>
  <c r="DU120" i="1"/>
  <c r="DU121" i="1"/>
  <c r="DU122" i="1"/>
  <c r="DU123" i="1"/>
  <c r="DU124" i="1"/>
  <c r="DU125" i="1"/>
  <c r="DU126" i="1"/>
  <c r="DU127" i="1"/>
  <c r="DU128" i="1"/>
  <c r="DU129" i="1"/>
  <c r="DU130" i="1"/>
  <c r="DU131" i="1"/>
  <c r="DU132" i="1"/>
  <c r="DU133" i="1"/>
  <c r="DU134" i="1"/>
  <c r="DU135" i="1"/>
  <c r="DU136" i="1"/>
  <c r="DU137" i="1"/>
  <c r="DU138" i="1"/>
  <c r="DU139" i="1"/>
  <c r="DU140" i="1"/>
  <c r="DU141" i="1"/>
  <c r="DU142" i="1"/>
  <c r="DU143" i="1"/>
  <c r="DU144" i="1"/>
  <c r="DU145" i="1"/>
  <c r="DU146" i="1"/>
  <c r="DU147" i="1"/>
  <c r="DU148" i="1"/>
  <c r="DU149" i="1"/>
  <c r="DU150" i="1"/>
  <c r="DU151" i="1"/>
  <c r="DU152" i="1"/>
  <c r="DU153" i="1"/>
  <c r="DU154" i="1"/>
  <c r="DU155" i="1"/>
  <c r="DU156" i="1"/>
  <c r="DU157" i="1"/>
  <c r="DU158" i="1"/>
  <c r="DU159" i="1"/>
  <c r="DU160" i="1"/>
  <c r="DU161" i="1"/>
  <c r="DU162" i="1"/>
  <c r="DU163" i="1"/>
  <c r="DU164" i="1"/>
  <c r="DU165" i="1"/>
  <c r="DU166" i="1"/>
  <c r="DU167" i="1"/>
  <c r="DU168" i="1"/>
  <c r="DU169" i="1"/>
  <c r="DU170" i="1"/>
  <c r="DU171" i="1"/>
  <c r="DU172" i="1"/>
  <c r="DU173" i="1"/>
  <c r="DU174" i="1"/>
  <c r="DU175" i="1"/>
  <c r="DU176" i="1"/>
  <c r="DU177" i="1"/>
  <c r="DU178" i="1"/>
  <c r="DU179" i="1"/>
  <c r="DU180" i="1"/>
  <c r="DU181" i="1"/>
  <c r="DU182" i="1"/>
  <c r="DU183" i="1"/>
  <c r="DU184" i="1"/>
  <c r="DU185" i="1"/>
  <c r="DU186" i="1"/>
  <c r="DU187" i="1"/>
  <c r="DU188" i="1"/>
  <c r="DU189" i="1"/>
  <c r="DU190" i="1"/>
  <c r="DU191" i="1"/>
  <c r="DU192" i="1"/>
  <c r="DU193" i="1"/>
  <c r="DU194" i="1"/>
  <c r="DU195" i="1"/>
  <c r="DU196" i="1"/>
  <c r="DU197" i="1"/>
  <c r="DU198" i="1"/>
  <c r="DU199" i="1"/>
  <c r="DU200" i="1"/>
  <c r="DU201" i="1"/>
  <c r="DU202" i="1"/>
  <c r="DU203" i="1"/>
  <c r="DU204" i="1"/>
  <c r="DU205" i="1"/>
  <c r="DU206" i="1"/>
  <c r="DU207" i="1"/>
  <c r="DU208" i="1"/>
  <c r="DU209" i="1"/>
  <c r="DU210" i="1"/>
  <c r="DU211" i="1"/>
  <c r="DU212" i="1"/>
  <c r="DU213" i="1"/>
  <c r="DU214" i="1"/>
  <c r="DU215" i="1"/>
  <c r="DU216" i="1"/>
  <c r="DU217" i="1"/>
  <c r="DU218" i="1"/>
  <c r="DU219" i="1"/>
  <c r="DU220" i="1"/>
  <c r="DU221" i="1"/>
  <c r="DU222" i="1"/>
  <c r="DU223" i="1"/>
  <c r="DU224" i="1"/>
  <c r="DU225" i="1"/>
  <c r="DU226" i="1"/>
  <c r="DU227" i="1"/>
  <c r="DU228" i="1"/>
  <c r="DU229" i="1"/>
  <c r="DU230" i="1"/>
  <c r="DU231" i="1"/>
  <c r="DU232" i="1"/>
  <c r="DU233" i="1"/>
  <c r="DU234" i="1"/>
  <c r="DU235" i="1"/>
  <c r="DU236" i="1"/>
  <c r="DU237" i="1"/>
  <c r="DU238" i="1"/>
  <c r="DU239" i="1"/>
  <c r="DU240" i="1"/>
  <c r="DU241" i="1"/>
  <c r="DU242" i="1"/>
  <c r="DU243" i="1"/>
  <c r="DU244" i="1"/>
  <c r="DU245" i="1"/>
  <c r="DU246" i="1"/>
  <c r="DU247" i="1"/>
  <c r="DU248" i="1"/>
  <c r="DU249" i="1"/>
  <c r="DU250" i="1"/>
  <c r="DU251" i="1"/>
  <c r="DU252" i="1"/>
  <c r="DU253" i="1"/>
  <c r="DU254" i="1"/>
  <c r="DU255" i="1"/>
  <c r="DU256" i="1"/>
  <c r="DU257" i="1"/>
  <c r="DU258" i="1"/>
  <c r="DU259" i="1"/>
  <c r="DU260" i="1"/>
  <c r="DU261" i="1"/>
  <c r="DU262" i="1"/>
  <c r="DU263" i="1"/>
  <c r="DU264" i="1"/>
  <c r="DU265" i="1"/>
  <c r="DU266" i="1"/>
  <c r="DU267" i="1"/>
  <c r="DU268" i="1"/>
  <c r="DU269" i="1"/>
  <c r="DU270" i="1"/>
  <c r="CC6" i="1"/>
  <c r="BG185" i="1" a="1"/>
  <c r="BG185" i="1" s="1"/>
  <c r="DH179" i="1" a="1"/>
  <c r="DH179" i="1" s="1"/>
  <c r="EA185" i="1" a="1"/>
  <c r="EA185" i="1" s="1"/>
  <c r="EA179" i="1" a="1"/>
  <c r="EA179" i="1" s="1"/>
  <c r="BG5" i="1" a="1"/>
  <c r="BG5"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CC5" i="1"/>
  <c r="BT112" i="1"/>
  <c r="BW6" i="1"/>
  <c r="BX6" i="1"/>
  <c r="BY6" i="1"/>
  <c r="BW7" i="1"/>
  <c r="BX7" i="1"/>
  <c r="BY7" i="1"/>
  <c r="BW8" i="1"/>
  <c r="BX8" i="1"/>
  <c r="BY8" i="1"/>
  <c r="BW9" i="1"/>
  <c r="BX9" i="1"/>
  <c r="BY9" i="1"/>
  <c r="BW10" i="1"/>
  <c r="BX10" i="1"/>
  <c r="BY10" i="1"/>
  <c r="BW11" i="1"/>
  <c r="BX11" i="1"/>
  <c r="BY11" i="1"/>
  <c r="BW12" i="1"/>
  <c r="BX12" i="1"/>
  <c r="BY12" i="1"/>
  <c r="BW13" i="1"/>
  <c r="BX13" i="1"/>
  <c r="BY13" i="1"/>
  <c r="BW14" i="1"/>
  <c r="BX14" i="1"/>
  <c r="BY14" i="1"/>
  <c r="BW15" i="1"/>
  <c r="BX15" i="1"/>
  <c r="BY15" i="1"/>
  <c r="BW16" i="1"/>
  <c r="BX16" i="1"/>
  <c r="BY16" i="1"/>
  <c r="BW17" i="1"/>
  <c r="BX17" i="1"/>
  <c r="BY17" i="1"/>
  <c r="BW18" i="1"/>
  <c r="BX18" i="1"/>
  <c r="BY18" i="1"/>
  <c r="BW19" i="1"/>
  <c r="BX19" i="1"/>
  <c r="BY19" i="1"/>
  <c r="BW20" i="1"/>
  <c r="BX20" i="1"/>
  <c r="BY20" i="1"/>
  <c r="BW21" i="1"/>
  <c r="BX21" i="1"/>
  <c r="BY21" i="1"/>
  <c r="BW22" i="1"/>
  <c r="BX22" i="1"/>
  <c r="BY22" i="1"/>
  <c r="BW23" i="1"/>
  <c r="BX23" i="1"/>
  <c r="BY23" i="1"/>
  <c r="BW24" i="1"/>
  <c r="BX24" i="1"/>
  <c r="BY24" i="1"/>
  <c r="BW25" i="1"/>
  <c r="BX25" i="1"/>
  <c r="BY25" i="1"/>
  <c r="BW26" i="1"/>
  <c r="BX26" i="1"/>
  <c r="BY26" i="1"/>
  <c r="BW27" i="1"/>
  <c r="BX27" i="1"/>
  <c r="BY27" i="1"/>
  <c r="BW28" i="1"/>
  <c r="BX28" i="1"/>
  <c r="BY28" i="1"/>
  <c r="BW29" i="1"/>
  <c r="BX29" i="1"/>
  <c r="BY29" i="1"/>
  <c r="BW30" i="1"/>
  <c r="BX30" i="1"/>
  <c r="BY30" i="1"/>
  <c r="BW31" i="1"/>
  <c r="BX31" i="1"/>
  <c r="BY31" i="1"/>
  <c r="BW32" i="1"/>
  <c r="BX32" i="1"/>
  <c r="BY32" i="1"/>
  <c r="BW33" i="1"/>
  <c r="BX33" i="1"/>
  <c r="BY33" i="1"/>
  <c r="BW34" i="1"/>
  <c r="BX34" i="1"/>
  <c r="BY34" i="1"/>
  <c r="BW35" i="1"/>
  <c r="BX35" i="1"/>
  <c r="BY35" i="1"/>
  <c r="BW36" i="1"/>
  <c r="BX36" i="1"/>
  <c r="BY36" i="1"/>
  <c r="BW37" i="1"/>
  <c r="BX37" i="1"/>
  <c r="BY37" i="1"/>
  <c r="BW38" i="1"/>
  <c r="BX38" i="1"/>
  <c r="BY38" i="1"/>
  <c r="BW39" i="1"/>
  <c r="BX39" i="1"/>
  <c r="BY39" i="1"/>
  <c r="BW40" i="1"/>
  <c r="BX40" i="1"/>
  <c r="BY40" i="1"/>
  <c r="BW41" i="1"/>
  <c r="BX41" i="1"/>
  <c r="BY41" i="1"/>
  <c r="BW42" i="1"/>
  <c r="BX42" i="1"/>
  <c r="BY42" i="1"/>
  <c r="BW43" i="1"/>
  <c r="BX43" i="1"/>
  <c r="BY43" i="1"/>
  <c r="BW44" i="1"/>
  <c r="BX44" i="1"/>
  <c r="BY44" i="1"/>
  <c r="BW45" i="1"/>
  <c r="BX45" i="1"/>
  <c r="BY45" i="1"/>
  <c r="BW46" i="1"/>
  <c r="BX46" i="1"/>
  <c r="BY46" i="1"/>
  <c r="BW47" i="1"/>
  <c r="BX47" i="1"/>
  <c r="BY47" i="1"/>
  <c r="BW48" i="1"/>
  <c r="BX48" i="1"/>
  <c r="BY48" i="1"/>
  <c r="BW49" i="1"/>
  <c r="BX49" i="1"/>
  <c r="BY49" i="1"/>
  <c r="BW50" i="1"/>
  <c r="BX50" i="1"/>
  <c r="BY50" i="1"/>
  <c r="BW51" i="1"/>
  <c r="BX51" i="1"/>
  <c r="BY51" i="1"/>
  <c r="BW52" i="1"/>
  <c r="BX52" i="1"/>
  <c r="BY52" i="1"/>
  <c r="BW53" i="1"/>
  <c r="BX53" i="1"/>
  <c r="BY53" i="1"/>
  <c r="BW54" i="1"/>
  <c r="BX54" i="1"/>
  <c r="BY54" i="1"/>
  <c r="BW55" i="1"/>
  <c r="BX55" i="1"/>
  <c r="BY55" i="1"/>
  <c r="BW56" i="1"/>
  <c r="BX56" i="1"/>
  <c r="BY56" i="1"/>
  <c r="BW57" i="1"/>
  <c r="BX57" i="1"/>
  <c r="BY57" i="1"/>
  <c r="BW58" i="1"/>
  <c r="BX58" i="1"/>
  <c r="BY58" i="1"/>
  <c r="BW59" i="1"/>
  <c r="BX59" i="1"/>
  <c r="BY59" i="1"/>
  <c r="BW60" i="1"/>
  <c r="BX60" i="1"/>
  <c r="BY60" i="1"/>
  <c r="BW61" i="1"/>
  <c r="BX61" i="1"/>
  <c r="BY61" i="1"/>
  <c r="BW62" i="1"/>
  <c r="BX62" i="1"/>
  <c r="BY62" i="1"/>
  <c r="BW63" i="1"/>
  <c r="BX63" i="1"/>
  <c r="BY63" i="1"/>
  <c r="BW64" i="1"/>
  <c r="BX64" i="1"/>
  <c r="BY64" i="1"/>
  <c r="BW65" i="1"/>
  <c r="BX65" i="1"/>
  <c r="BY65" i="1"/>
  <c r="BW66" i="1"/>
  <c r="BX66" i="1"/>
  <c r="BY66" i="1"/>
  <c r="BW67" i="1"/>
  <c r="BX67" i="1"/>
  <c r="BY67" i="1"/>
  <c r="BW68" i="1"/>
  <c r="BX68" i="1"/>
  <c r="BY68" i="1"/>
  <c r="BW69" i="1"/>
  <c r="BX69" i="1"/>
  <c r="BY69" i="1"/>
  <c r="BW70" i="1"/>
  <c r="BX70" i="1"/>
  <c r="BY70" i="1"/>
  <c r="BW71" i="1"/>
  <c r="BX71" i="1"/>
  <c r="BY71" i="1"/>
  <c r="BW72" i="1"/>
  <c r="BX72" i="1"/>
  <c r="BY72" i="1"/>
  <c r="BW73" i="1"/>
  <c r="BX73" i="1"/>
  <c r="BY73" i="1"/>
  <c r="BW74" i="1"/>
  <c r="BX74" i="1"/>
  <c r="BY74" i="1"/>
  <c r="BW75" i="1"/>
  <c r="BX75" i="1"/>
  <c r="BY75" i="1"/>
  <c r="BW76" i="1"/>
  <c r="BX76" i="1"/>
  <c r="BY76" i="1"/>
  <c r="BW77" i="1"/>
  <c r="BX77" i="1"/>
  <c r="BY77" i="1"/>
  <c r="BW78" i="1"/>
  <c r="BX78" i="1"/>
  <c r="BY78" i="1"/>
  <c r="BW79" i="1"/>
  <c r="BX79" i="1"/>
  <c r="BY79" i="1"/>
  <c r="BW80" i="1"/>
  <c r="BX80" i="1"/>
  <c r="BY80" i="1"/>
  <c r="BW81" i="1"/>
  <c r="BX81" i="1"/>
  <c r="BY81" i="1"/>
  <c r="BW82" i="1"/>
  <c r="BX82" i="1"/>
  <c r="BY82" i="1"/>
  <c r="BW83" i="1"/>
  <c r="BX83" i="1"/>
  <c r="BY83" i="1"/>
  <c r="BW84" i="1"/>
  <c r="BX84" i="1"/>
  <c r="BY84" i="1"/>
  <c r="BW85" i="1"/>
  <c r="BX85" i="1"/>
  <c r="BY85" i="1"/>
  <c r="BW86" i="1"/>
  <c r="BX86" i="1"/>
  <c r="BY86" i="1"/>
  <c r="BW87" i="1"/>
  <c r="BX87" i="1"/>
  <c r="BY87" i="1"/>
  <c r="BW88" i="1"/>
  <c r="BX88" i="1"/>
  <c r="BY88" i="1"/>
  <c r="BW89" i="1"/>
  <c r="BX89" i="1"/>
  <c r="BY89" i="1"/>
  <c r="BW90" i="1"/>
  <c r="BX90" i="1"/>
  <c r="BY90" i="1"/>
  <c r="BW91" i="1"/>
  <c r="BX91" i="1"/>
  <c r="BY91" i="1"/>
  <c r="BW92" i="1"/>
  <c r="BX92" i="1"/>
  <c r="BY92" i="1"/>
  <c r="BW93" i="1"/>
  <c r="BX93" i="1"/>
  <c r="BY93" i="1"/>
  <c r="BW94" i="1"/>
  <c r="BX94" i="1"/>
  <c r="BY94" i="1"/>
  <c r="BW95" i="1"/>
  <c r="BX95" i="1"/>
  <c r="BY95" i="1"/>
  <c r="BW96" i="1"/>
  <c r="BX96" i="1"/>
  <c r="BY96" i="1"/>
  <c r="BW97" i="1"/>
  <c r="BX97" i="1"/>
  <c r="BY97" i="1"/>
  <c r="BW98" i="1"/>
  <c r="BX98" i="1"/>
  <c r="BY98" i="1"/>
  <c r="BW99" i="1"/>
  <c r="BX99" i="1"/>
  <c r="BY99" i="1"/>
  <c r="BW100" i="1"/>
  <c r="BX100" i="1"/>
  <c r="BY100" i="1"/>
  <c r="BW101" i="1"/>
  <c r="BX101" i="1"/>
  <c r="BY101" i="1"/>
  <c r="BW102" i="1"/>
  <c r="BX102" i="1"/>
  <c r="BY102" i="1"/>
  <c r="BW103" i="1"/>
  <c r="BX103" i="1"/>
  <c r="BY103" i="1"/>
  <c r="BW104" i="1"/>
  <c r="BX104" i="1"/>
  <c r="BY104" i="1"/>
  <c r="BW105" i="1"/>
  <c r="BX105" i="1"/>
  <c r="BY105" i="1"/>
  <c r="BW106" i="1"/>
  <c r="BX106" i="1"/>
  <c r="BY106" i="1"/>
  <c r="BW107" i="1"/>
  <c r="BX107" i="1"/>
  <c r="BY107" i="1"/>
  <c r="BW108" i="1"/>
  <c r="BX108" i="1"/>
  <c r="BY108" i="1"/>
  <c r="BW109" i="1"/>
  <c r="BX109" i="1"/>
  <c r="BY109" i="1"/>
  <c r="BW110" i="1"/>
  <c r="BX110" i="1"/>
  <c r="BY110" i="1"/>
  <c r="BW111" i="1"/>
  <c r="BX111" i="1"/>
  <c r="BY111" i="1"/>
  <c r="BW112" i="1"/>
  <c r="BX112" i="1"/>
  <c r="BY112" i="1"/>
  <c r="BW113" i="1"/>
  <c r="BX113" i="1"/>
  <c r="BY113" i="1"/>
  <c r="BW114" i="1"/>
  <c r="BX114" i="1"/>
  <c r="BY114" i="1"/>
  <c r="BW115" i="1"/>
  <c r="BX115" i="1"/>
  <c r="BY115" i="1"/>
  <c r="BW116" i="1"/>
  <c r="BX116" i="1"/>
  <c r="BY116" i="1"/>
  <c r="BW117" i="1"/>
  <c r="BX117" i="1"/>
  <c r="BY117" i="1"/>
  <c r="BW118" i="1"/>
  <c r="BX118" i="1"/>
  <c r="BY118" i="1"/>
  <c r="BW119" i="1"/>
  <c r="BX119" i="1"/>
  <c r="BY119" i="1"/>
  <c r="BW120" i="1"/>
  <c r="BX120" i="1"/>
  <c r="BY120" i="1"/>
  <c r="BW121" i="1"/>
  <c r="BX121" i="1"/>
  <c r="BY121" i="1"/>
  <c r="BW122" i="1"/>
  <c r="BX122" i="1"/>
  <c r="BY122" i="1"/>
  <c r="BW123" i="1"/>
  <c r="BX123" i="1"/>
  <c r="BY123" i="1"/>
  <c r="BW124" i="1"/>
  <c r="BX124" i="1"/>
  <c r="BY124" i="1"/>
  <c r="BW125" i="1"/>
  <c r="BX125" i="1"/>
  <c r="BY125" i="1"/>
  <c r="BW126" i="1"/>
  <c r="BX126" i="1"/>
  <c r="BY126" i="1"/>
  <c r="BW127" i="1"/>
  <c r="BX127" i="1"/>
  <c r="BY127" i="1"/>
  <c r="BW128" i="1"/>
  <c r="BX128" i="1"/>
  <c r="BY128" i="1"/>
  <c r="BW129" i="1"/>
  <c r="BX129" i="1"/>
  <c r="BY129" i="1"/>
  <c r="BW130" i="1"/>
  <c r="BX130" i="1"/>
  <c r="BY130" i="1"/>
  <c r="BW131" i="1"/>
  <c r="BX131" i="1"/>
  <c r="BY131" i="1"/>
  <c r="BW132" i="1"/>
  <c r="BX132" i="1"/>
  <c r="BY132" i="1"/>
  <c r="BW133" i="1"/>
  <c r="BX133" i="1"/>
  <c r="BY133" i="1"/>
  <c r="BW134" i="1"/>
  <c r="BX134" i="1"/>
  <c r="BY134" i="1"/>
  <c r="BW135" i="1"/>
  <c r="BX135" i="1"/>
  <c r="BY135" i="1"/>
  <c r="BW136" i="1"/>
  <c r="BX136" i="1"/>
  <c r="BY136" i="1"/>
  <c r="BW137" i="1"/>
  <c r="BX137" i="1"/>
  <c r="BY137" i="1"/>
  <c r="BW138" i="1"/>
  <c r="BX138" i="1"/>
  <c r="BY138" i="1"/>
  <c r="BW139" i="1"/>
  <c r="BX139" i="1"/>
  <c r="BY139" i="1"/>
  <c r="BW140" i="1"/>
  <c r="BX140" i="1"/>
  <c r="BY140" i="1"/>
  <c r="BW141" i="1"/>
  <c r="BX141" i="1"/>
  <c r="BY141" i="1"/>
  <c r="BW142" i="1"/>
  <c r="BX142" i="1"/>
  <c r="BY142" i="1"/>
  <c r="BW143" i="1"/>
  <c r="BX143" i="1"/>
  <c r="BY143" i="1"/>
  <c r="BW144" i="1"/>
  <c r="BX144" i="1"/>
  <c r="BY144" i="1"/>
  <c r="BW145" i="1"/>
  <c r="BX145" i="1"/>
  <c r="BY145" i="1"/>
  <c r="BW146" i="1"/>
  <c r="BX146" i="1"/>
  <c r="BY146" i="1"/>
  <c r="BW147" i="1"/>
  <c r="BX147" i="1"/>
  <c r="BY147" i="1"/>
  <c r="BW148" i="1"/>
  <c r="BX148" i="1"/>
  <c r="BY148" i="1"/>
  <c r="BW149" i="1"/>
  <c r="BX149" i="1"/>
  <c r="BY149" i="1"/>
  <c r="BW150" i="1"/>
  <c r="BX150" i="1"/>
  <c r="BY150" i="1"/>
  <c r="BW151" i="1"/>
  <c r="BX151" i="1"/>
  <c r="BY151" i="1"/>
  <c r="BW152" i="1"/>
  <c r="BX152" i="1"/>
  <c r="BY152" i="1"/>
  <c r="BW153" i="1"/>
  <c r="BX153" i="1"/>
  <c r="BY153" i="1"/>
  <c r="BW154" i="1"/>
  <c r="BX154" i="1"/>
  <c r="BY154" i="1"/>
  <c r="BW155" i="1"/>
  <c r="BX155" i="1"/>
  <c r="BY155" i="1"/>
  <c r="BW156" i="1"/>
  <c r="BX156" i="1"/>
  <c r="BY156" i="1"/>
  <c r="BW157" i="1"/>
  <c r="BX157" i="1"/>
  <c r="BY157" i="1"/>
  <c r="BW158" i="1"/>
  <c r="BX158" i="1"/>
  <c r="BY158" i="1"/>
  <c r="BW159" i="1"/>
  <c r="BX159" i="1"/>
  <c r="BY159" i="1"/>
  <c r="BW160" i="1"/>
  <c r="BX160" i="1"/>
  <c r="BY160" i="1"/>
  <c r="BW161" i="1"/>
  <c r="BX161" i="1"/>
  <c r="BY161" i="1"/>
  <c r="BW162" i="1"/>
  <c r="BX162" i="1"/>
  <c r="BY162" i="1"/>
  <c r="BW163" i="1"/>
  <c r="BX163" i="1"/>
  <c r="BY163" i="1"/>
  <c r="BW164" i="1"/>
  <c r="BX164" i="1"/>
  <c r="BY164" i="1"/>
  <c r="BW165" i="1"/>
  <c r="BX165" i="1"/>
  <c r="BY165" i="1"/>
  <c r="BW166" i="1"/>
  <c r="BX166" i="1"/>
  <c r="BY166" i="1"/>
  <c r="BW167" i="1"/>
  <c r="BX167" i="1"/>
  <c r="BY167" i="1"/>
  <c r="BW168" i="1"/>
  <c r="BX168" i="1"/>
  <c r="BY168" i="1"/>
  <c r="BW169" i="1"/>
  <c r="BX169" i="1"/>
  <c r="BY169" i="1"/>
  <c r="BW170" i="1"/>
  <c r="BX170" i="1"/>
  <c r="BY170" i="1"/>
  <c r="BW171" i="1"/>
  <c r="BX171" i="1"/>
  <c r="BY171" i="1"/>
  <c r="BW172" i="1"/>
  <c r="BX172" i="1"/>
  <c r="BY172" i="1"/>
  <c r="BW173" i="1"/>
  <c r="BX173" i="1"/>
  <c r="BY173" i="1"/>
  <c r="BW174" i="1"/>
  <c r="BX174" i="1"/>
  <c r="BY174" i="1"/>
  <c r="BW175" i="1"/>
  <c r="BX175" i="1"/>
  <c r="BY175" i="1"/>
  <c r="BW176" i="1"/>
  <c r="BX176" i="1"/>
  <c r="BY176" i="1"/>
  <c r="BW177" i="1"/>
  <c r="BX177" i="1"/>
  <c r="BY177" i="1"/>
  <c r="BW178" i="1"/>
  <c r="BX178" i="1"/>
  <c r="BY178" i="1"/>
  <c r="BW179" i="1"/>
  <c r="BX179" i="1"/>
  <c r="BY179" i="1"/>
  <c r="BW180" i="1"/>
  <c r="BX180" i="1"/>
  <c r="BY180" i="1"/>
  <c r="BW181" i="1"/>
  <c r="BX181" i="1"/>
  <c r="BY181" i="1"/>
  <c r="BW182" i="1"/>
  <c r="BX182" i="1"/>
  <c r="BY182" i="1"/>
  <c r="BW183" i="1"/>
  <c r="BX183" i="1"/>
  <c r="BY183" i="1"/>
  <c r="BW184" i="1"/>
  <c r="BX184" i="1"/>
  <c r="BY184" i="1"/>
  <c r="BW185" i="1"/>
  <c r="BX185" i="1"/>
  <c r="BY185" i="1"/>
  <c r="BW186" i="1"/>
  <c r="BX186" i="1"/>
  <c r="BY186" i="1"/>
  <c r="BW187" i="1"/>
  <c r="BX187" i="1"/>
  <c r="BY187" i="1"/>
  <c r="BW188" i="1"/>
  <c r="BX188" i="1"/>
  <c r="BY188" i="1"/>
  <c r="BW189" i="1"/>
  <c r="BX189" i="1"/>
  <c r="BY189" i="1"/>
  <c r="BW190" i="1"/>
  <c r="BX190" i="1"/>
  <c r="BY190" i="1"/>
  <c r="BW191" i="1"/>
  <c r="BX191" i="1"/>
  <c r="BY191" i="1"/>
  <c r="BW192" i="1"/>
  <c r="BX192" i="1"/>
  <c r="BY192" i="1"/>
  <c r="BW193" i="1"/>
  <c r="BX193" i="1"/>
  <c r="BY193" i="1"/>
  <c r="BW194" i="1"/>
  <c r="BX194" i="1"/>
  <c r="BY194" i="1"/>
  <c r="BW195" i="1"/>
  <c r="BX195" i="1"/>
  <c r="BY195" i="1"/>
  <c r="BW196" i="1"/>
  <c r="BX196" i="1"/>
  <c r="BY196" i="1"/>
  <c r="BW197" i="1"/>
  <c r="BX197" i="1"/>
  <c r="BY197" i="1"/>
  <c r="BW198" i="1"/>
  <c r="BX198" i="1"/>
  <c r="BY198" i="1"/>
  <c r="BW199" i="1"/>
  <c r="BX199" i="1"/>
  <c r="BY199" i="1"/>
  <c r="BW200" i="1"/>
  <c r="BX200" i="1"/>
  <c r="BY200" i="1"/>
  <c r="BW201" i="1"/>
  <c r="BX201" i="1"/>
  <c r="BY201" i="1"/>
  <c r="BW202" i="1"/>
  <c r="BX202" i="1"/>
  <c r="BY202" i="1"/>
  <c r="BW203" i="1"/>
  <c r="BX203" i="1"/>
  <c r="BY203" i="1"/>
  <c r="BW204" i="1"/>
  <c r="BX204" i="1"/>
  <c r="BY204" i="1"/>
  <c r="BW205" i="1"/>
  <c r="BX205" i="1"/>
  <c r="BY205" i="1"/>
  <c r="BW206" i="1"/>
  <c r="BX206" i="1"/>
  <c r="BY206" i="1"/>
  <c r="BW207" i="1"/>
  <c r="BX207" i="1"/>
  <c r="BY207" i="1"/>
  <c r="BW208" i="1"/>
  <c r="BX208" i="1"/>
  <c r="BY208" i="1"/>
  <c r="BW209" i="1"/>
  <c r="BX209" i="1"/>
  <c r="BY209" i="1"/>
  <c r="BW210" i="1"/>
  <c r="BX210" i="1"/>
  <c r="BY210" i="1"/>
  <c r="BW211" i="1"/>
  <c r="BX211" i="1"/>
  <c r="BY211" i="1"/>
  <c r="BW212" i="1"/>
  <c r="BX212" i="1"/>
  <c r="BY212" i="1"/>
  <c r="BW213" i="1"/>
  <c r="BX213" i="1"/>
  <c r="BY213" i="1"/>
  <c r="BW214" i="1"/>
  <c r="BX214" i="1"/>
  <c r="BY214" i="1"/>
  <c r="BW215" i="1"/>
  <c r="BX215" i="1"/>
  <c r="BY215" i="1"/>
  <c r="BW216" i="1"/>
  <c r="BX216" i="1"/>
  <c r="BY216" i="1"/>
  <c r="BW217" i="1"/>
  <c r="BX217" i="1"/>
  <c r="BY217" i="1"/>
  <c r="BW218" i="1"/>
  <c r="BX218" i="1"/>
  <c r="BY218" i="1"/>
  <c r="BW219" i="1"/>
  <c r="BX219" i="1"/>
  <c r="BY219" i="1"/>
  <c r="BW220" i="1"/>
  <c r="BX220" i="1"/>
  <c r="BY220" i="1"/>
  <c r="BW221" i="1"/>
  <c r="BX221" i="1"/>
  <c r="BY221" i="1"/>
  <c r="BW222" i="1"/>
  <c r="BX222" i="1"/>
  <c r="BY222" i="1"/>
  <c r="BW223" i="1"/>
  <c r="BX223" i="1"/>
  <c r="BY223" i="1"/>
  <c r="BW224" i="1"/>
  <c r="BX224" i="1"/>
  <c r="BY224" i="1"/>
  <c r="BW225" i="1"/>
  <c r="BX225" i="1"/>
  <c r="BY225" i="1"/>
  <c r="BW226" i="1"/>
  <c r="BX226" i="1"/>
  <c r="BY226" i="1"/>
  <c r="BW227" i="1"/>
  <c r="BX227" i="1"/>
  <c r="BY227" i="1"/>
  <c r="BW228" i="1"/>
  <c r="BX228" i="1"/>
  <c r="BY228" i="1"/>
  <c r="BW229" i="1"/>
  <c r="BX229" i="1"/>
  <c r="BY229" i="1"/>
  <c r="BW230" i="1"/>
  <c r="BX230" i="1"/>
  <c r="BY230" i="1"/>
  <c r="BW231" i="1"/>
  <c r="BX231" i="1"/>
  <c r="BY231" i="1"/>
  <c r="BW232" i="1"/>
  <c r="BX232" i="1"/>
  <c r="BY232" i="1"/>
  <c r="BW233" i="1"/>
  <c r="BX233" i="1"/>
  <c r="BY233" i="1"/>
  <c r="BW234" i="1"/>
  <c r="BX234" i="1"/>
  <c r="BY234" i="1"/>
  <c r="BW235" i="1"/>
  <c r="BX235" i="1"/>
  <c r="BY235" i="1"/>
  <c r="BW236" i="1"/>
  <c r="BX236" i="1"/>
  <c r="BY236" i="1"/>
  <c r="BW237" i="1"/>
  <c r="BX237" i="1"/>
  <c r="BY237" i="1"/>
  <c r="BW238" i="1"/>
  <c r="BX238" i="1"/>
  <c r="BY238" i="1"/>
  <c r="BW239" i="1"/>
  <c r="BX239" i="1"/>
  <c r="BY239" i="1"/>
  <c r="BW240" i="1"/>
  <c r="BX240" i="1"/>
  <c r="BY240" i="1"/>
  <c r="BW241" i="1"/>
  <c r="BX241" i="1"/>
  <c r="BY241" i="1"/>
  <c r="BW242" i="1"/>
  <c r="BX242" i="1"/>
  <c r="BY242" i="1"/>
  <c r="BW243" i="1"/>
  <c r="BX243" i="1"/>
  <c r="BY243" i="1"/>
  <c r="BW244" i="1"/>
  <c r="BX244" i="1"/>
  <c r="BY244" i="1"/>
  <c r="BW245" i="1"/>
  <c r="BX245" i="1"/>
  <c r="BY245" i="1"/>
  <c r="BW246" i="1"/>
  <c r="BX246" i="1"/>
  <c r="BY246" i="1"/>
  <c r="BW247" i="1"/>
  <c r="BX247" i="1"/>
  <c r="BY247" i="1"/>
  <c r="BW248" i="1"/>
  <c r="BX248" i="1"/>
  <c r="BY248" i="1"/>
  <c r="BW249" i="1"/>
  <c r="BX249" i="1"/>
  <c r="BY249" i="1"/>
  <c r="BW250" i="1"/>
  <c r="BX250" i="1"/>
  <c r="BY250" i="1"/>
  <c r="BW251" i="1"/>
  <c r="BX251" i="1"/>
  <c r="BY251" i="1"/>
  <c r="BW252" i="1"/>
  <c r="BX252" i="1"/>
  <c r="BY252" i="1"/>
  <c r="BW253" i="1"/>
  <c r="BX253" i="1"/>
  <c r="BY253" i="1"/>
  <c r="BW254" i="1"/>
  <c r="BX254" i="1"/>
  <c r="BY254" i="1"/>
  <c r="BW255" i="1"/>
  <c r="BX255" i="1"/>
  <c r="BY255" i="1"/>
  <c r="BW256" i="1"/>
  <c r="BX256" i="1"/>
  <c r="BY256" i="1"/>
  <c r="BW257" i="1"/>
  <c r="BX257" i="1"/>
  <c r="BY257" i="1"/>
  <c r="BW258" i="1"/>
  <c r="BX258" i="1"/>
  <c r="BY258" i="1"/>
  <c r="BW259" i="1"/>
  <c r="BX259" i="1"/>
  <c r="BY259" i="1"/>
  <c r="BW260" i="1"/>
  <c r="BX260" i="1"/>
  <c r="BY260" i="1"/>
  <c r="BW261" i="1"/>
  <c r="BX261" i="1"/>
  <c r="BY261" i="1"/>
  <c r="BW262" i="1"/>
  <c r="BX262" i="1"/>
  <c r="BY262" i="1"/>
  <c r="BW263" i="1"/>
  <c r="BX263" i="1"/>
  <c r="BY263" i="1"/>
  <c r="BW264" i="1"/>
  <c r="BX264" i="1"/>
  <c r="BY264" i="1"/>
  <c r="BW265" i="1"/>
  <c r="BX265" i="1"/>
  <c r="BY265" i="1"/>
  <c r="BW266" i="1"/>
  <c r="BX266" i="1"/>
  <c r="BY266" i="1"/>
  <c r="BW267" i="1"/>
  <c r="BX267" i="1"/>
  <c r="BY267" i="1"/>
  <c r="BW268" i="1"/>
  <c r="BX268" i="1"/>
  <c r="BY268" i="1"/>
  <c r="BW269" i="1"/>
  <c r="BX269" i="1"/>
  <c r="BY269" i="1"/>
  <c r="BW270" i="1"/>
  <c r="BX270" i="1"/>
  <c r="BY270" i="1"/>
  <c r="BY5" i="1"/>
  <c r="BX5" i="1"/>
  <c r="BW5" i="1"/>
  <c r="BG179" i="1" a="1"/>
  <c r="BG179" i="1" s="1"/>
  <c r="BG69" i="1" a="1"/>
  <c r="BG69" i="1" s="1"/>
  <c r="BU69" i="1"/>
  <c r="BU179" i="1"/>
  <c r="BG2" i="1" a="1"/>
  <c r="BG2" i="1" s="1"/>
  <c r="BR112" i="1"/>
  <c r="BG208" i="1" a="1"/>
  <c r="BG208" i="1" s="1"/>
  <c r="BR208" i="1" s="1"/>
  <c r="BG89" i="1" a="1"/>
  <c r="BG89" i="1" s="1"/>
  <c r="BG154" i="1" a="1"/>
  <c r="BG154" i="1" s="1"/>
  <c r="ES89" i="1"/>
  <c r="EO5" i="1"/>
  <c r="EU5" i="1"/>
  <c r="EO6" i="1"/>
  <c r="EO7" i="1"/>
  <c r="EO8" i="1"/>
  <c r="EO9" i="1"/>
  <c r="EO10" i="1"/>
  <c r="EO11" i="1"/>
  <c r="EO12" i="1"/>
  <c r="EO13" i="1"/>
  <c r="EO14" i="1"/>
  <c r="EO15" i="1"/>
  <c r="EO16" i="1"/>
  <c r="EO17" i="1"/>
  <c r="EO89" i="1"/>
  <c r="EO19"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120" i="1"/>
  <c r="EO67" i="1"/>
  <c r="EO68" i="1"/>
  <c r="EO154" i="1"/>
  <c r="EO70" i="1"/>
  <c r="EO71" i="1"/>
  <c r="EO72" i="1"/>
  <c r="EO73" i="1"/>
  <c r="EO74" i="1"/>
  <c r="EO75" i="1"/>
  <c r="EO76" i="1"/>
  <c r="EO77" i="1"/>
  <c r="EO78" i="1"/>
  <c r="EO79" i="1"/>
  <c r="EO80" i="1"/>
  <c r="EO81" i="1"/>
  <c r="EO82" i="1"/>
  <c r="EO83" i="1"/>
  <c r="EO84" i="1"/>
  <c r="EO85" i="1"/>
  <c r="EO86" i="1"/>
  <c r="EO87" i="1"/>
  <c r="EO113" i="1"/>
  <c r="EO185" i="1"/>
  <c r="EO90" i="1"/>
  <c r="EO91" i="1"/>
  <c r="EO92" i="1"/>
  <c r="EO93" i="1"/>
  <c r="EO94" i="1"/>
  <c r="EO95" i="1"/>
  <c r="EO96" i="1"/>
  <c r="EO97" i="1"/>
  <c r="EO98" i="1"/>
  <c r="EO99" i="1"/>
  <c r="EO100" i="1"/>
  <c r="EO101" i="1"/>
  <c r="EO102" i="1"/>
  <c r="EO103" i="1"/>
  <c r="EO104" i="1"/>
  <c r="EO105" i="1"/>
  <c r="EO106" i="1"/>
  <c r="EO107" i="1"/>
  <c r="EO108" i="1"/>
  <c r="EO109" i="1"/>
  <c r="EO110" i="1"/>
  <c r="EO111" i="1"/>
  <c r="EO112" i="1"/>
  <c r="EO152" i="1"/>
  <c r="EO114" i="1"/>
  <c r="EO115" i="1"/>
  <c r="EO116" i="1"/>
  <c r="EO117" i="1"/>
  <c r="EO118" i="1"/>
  <c r="EO66" i="1"/>
  <c r="EO69" i="1"/>
  <c r="EO121"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19" i="1"/>
  <c r="EO153" i="1"/>
  <c r="EO88" i="1"/>
  <c r="EO155"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 i="1"/>
  <c r="EO186"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W5" i="1"/>
  <c r="EU6" i="1"/>
  <c r="EU7" i="1"/>
  <c r="EU8" i="1"/>
  <c r="EU9" i="1"/>
  <c r="EU10" i="1"/>
  <c r="EU11" i="1"/>
  <c r="EU12" i="1"/>
  <c r="EU13" i="1"/>
  <c r="EU14" i="1"/>
  <c r="EU15" i="1"/>
  <c r="EU16" i="1"/>
  <c r="EU17" i="1"/>
  <c r="EU89" i="1"/>
  <c r="EU19"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120" i="1"/>
  <c r="EU67" i="1"/>
  <c r="EU68" i="1"/>
  <c r="EU154" i="1"/>
  <c r="EU70" i="1"/>
  <c r="EU71" i="1"/>
  <c r="EU72" i="1"/>
  <c r="EU73" i="1"/>
  <c r="EU74" i="1"/>
  <c r="EU75" i="1"/>
  <c r="EU76" i="1"/>
  <c r="EU77" i="1"/>
  <c r="EU78" i="1"/>
  <c r="EU79" i="1"/>
  <c r="EU80" i="1"/>
  <c r="EU81" i="1"/>
  <c r="EU82" i="1"/>
  <c r="EU83" i="1"/>
  <c r="EU84" i="1"/>
  <c r="EU85" i="1"/>
  <c r="EU86" i="1"/>
  <c r="EU87" i="1"/>
  <c r="EU113" i="1"/>
  <c r="EU185" i="1"/>
  <c r="EU90" i="1"/>
  <c r="EU91" i="1"/>
  <c r="EU92" i="1"/>
  <c r="EU93" i="1"/>
  <c r="EU94" i="1"/>
  <c r="EU95" i="1"/>
  <c r="EU96" i="1"/>
  <c r="EU97" i="1"/>
  <c r="EU98" i="1"/>
  <c r="EU99" i="1"/>
  <c r="EU100" i="1"/>
  <c r="EU101" i="1"/>
  <c r="EU102" i="1"/>
  <c r="EU103" i="1"/>
  <c r="EU104" i="1"/>
  <c r="EU105" i="1"/>
  <c r="EU106" i="1"/>
  <c r="EU107" i="1"/>
  <c r="EU108" i="1"/>
  <c r="EU109" i="1"/>
  <c r="EU110" i="1"/>
  <c r="EU111" i="1"/>
  <c r="EU112" i="1"/>
  <c r="EU152" i="1"/>
  <c r="EU114" i="1"/>
  <c r="EU115" i="1"/>
  <c r="EU116" i="1"/>
  <c r="EU117" i="1"/>
  <c r="EU118" i="1"/>
  <c r="EU66" i="1"/>
  <c r="EU69" i="1"/>
  <c r="EU121"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19" i="1"/>
  <c r="EU153" i="1"/>
  <c r="EU88" i="1"/>
  <c r="EU155"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 i="1"/>
  <c r="EU186"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T5" i="1"/>
  <c r="ES6" i="1"/>
  <c r="ES7" i="1"/>
  <c r="ES8" i="1"/>
  <c r="ES9" i="1"/>
  <c r="ES10" i="1"/>
  <c r="ES11" i="1"/>
  <c r="ES12" i="1"/>
  <c r="ES13" i="1"/>
  <c r="ES14" i="1"/>
  <c r="ES15" i="1"/>
  <c r="ES16" i="1"/>
  <c r="ES17" i="1"/>
  <c r="ES19"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120" i="1"/>
  <c r="ES67" i="1"/>
  <c r="ES68" i="1"/>
  <c r="ES154" i="1"/>
  <c r="ES70" i="1"/>
  <c r="ES71" i="1"/>
  <c r="ES72" i="1"/>
  <c r="ES73" i="1"/>
  <c r="ES74" i="1"/>
  <c r="ES75" i="1"/>
  <c r="ES76" i="1"/>
  <c r="ES77" i="1"/>
  <c r="ES78" i="1"/>
  <c r="ES79" i="1"/>
  <c r="ES80" i="1"/>
  <c r="ES81" i="1"/>
  <c r="ES82" i="1"/>
  <c r="ES83" i="1"/>
  <c r="ES84" i="1"/>
  <c r="ES85" i="1"/>
  <c r="ES86" i="1"/>
  <c r="ES87" i="1"/>
  <c r="ES113" i="1"/>
  <c r="ES185" i="1"/>
  <c r="ES90" i="1"/>
  <c r="ES91" i="1"/>
  <c r="ES92" i="1"/>
  <c r="ES93" i="1"/>
  <c r="ES94" i="1"/>
  <c r="ES95" i="1"/>
  <c r="ES96" i="1"/>
  <c r="ES97" i="1"/>
  <c r="ES98" i="1"/>
  <c r="ES99" i="1"/>
  <c r="ES100" i="1"/>
  <c r="ES101" i="1"/>
  <c r="ES102" i="1"/>
  <c r="ES103" i="1"/>
  <c r="ES104" i="1"/>
  <c r="ES105" i="1"/>
  <c r="ES106" i="1"/>
  <c r="ES107" i="1"/>
  <c r="ES108" i="1"/>
  <c r="ES109" i="1"/>
  <c r="ES110" i="1"/>
  <c r="ES111" i="1"/>
  <c r="ES112" i="1"/>
  <c r="ES152" i="1"/>
  <c r="ES114" i="1"/>
  <c r="ES115" i="1"/>
  <c r="ES116" i="1"/>
  <c r="ES117" i="1"/>
  <c r="ES118" i="1"/>
  <c r="ES66" i="1"/>
  <c r="ES69" i="1"/>
  <c r="ES121"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19" i="1"/>
  <c r="ES153" i="1"/>
  <c r="ES88" i="1"/>
  <c r="ES155"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 i="1"/>
  <c r="ES186"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5" i="1"/>
  <c r="ET6" i="1"/>
  <c r="ET7" i="1"/>
  <c r="ET8" i="1"/>
  <c r="ET9" i="1"/>
  <c r="ET10" i="1"/>
  <c r="ET11" i="1"/>
  <c r="ET12" i="1"/>
  <c r="ET13" i="1"/>
  <c r="ET14" i="1"/>
  <c r="ET15" i="1"/>
  <c r="ET16" i="1"/>
  <c r="ET17" i="1"/>
  <c r="ET89" i="1"/>
  <c r="ET19"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120" i="1"/>
  <c r="ET67" i="1"/>
  <c r="ET68" i="1"/>
  <c r="ET154" i="1"/>
  <c r="ET70" i="1"/>
  <c r="ET71" i="1"/>
  <c r="ET72" i="1"/>
  <c r="ET73" i="1"/>
  <c r="ET74" i="1"/>
  <c r="ET75" i="1"/>
  <c r="ET76" i="1"/>
  <c r="ET77" i="1"/>
  <c r="ET78" i="1"/>
  <c r="ET79" i="1"/>
  <c r="ET80" i="1"/>
  <c r="ET81" i="1"/>
  <c r="ET82" i="1"/>
  <c r="ET83" i="1"/>
  <c r="ET84" i="1"/>
  <c r="ET85" i="1"/>
  <c r="ET86" i="1"/>
  <c r="ET87" i="1"/>
  <c r="ET113" i="1"/>
  <c r="ET185" i="1"/>
  <c r="ET90" i="1"/>
  <c r="ET91" i="1"/>
  <c r="ET92" i="1"/>
  <c r="ET93" i="1"/>
  <c r="ET94" i="1"/>
  <c r="ET95" i="1"/>
  <c r="ET96" i="1"/>
  <c r="ET97" i="1"/>
  <c r="ET98" i="1"/>
  <c r="ET99" i="1"/>
  <c r="ET100" i="1"/>
  <c r="ET101" i="1"/>
  <c r="ET102" i="1"/>
  <c r="ET103" i="1"/>
  <c r="ET104" i="1"/>
  <c r="ET105" i="1"/>
  <c r="ET106" i="1"/>
  <c r="ET107" i="1"/>
  <c r="ET108" i="1"/>
  <c r="ET109" i="1"/>
  <c r="ET110" i="1"/>
  <c r="ET111" i="1"/>
  <c r="ET112" i="1"/>
  <c r="ET152" i="1"/>
  <c r="ET114" i="1"/>
  <c r="ET115" i="1"/>
  <c r="ET116" i="1"/>
  <c r="ET117" i="1"/>
  <c r="ET118" i="1"/>
  <c r="ET66" i="1"/>
  <c r="ET69" i="1"/>
  <c r="ET121"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19" i="1"/>
  <c r="ET153" i="1"/>
  <c r="ET88" i="1"/>
  <c r="ET155"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 i="1"/>
  <c r="ET186"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M5" i="1"/>
  <c r="EM6" i="1"/>
  <c r="EN6" i="1"/>
  <c r="EM7" i="1"/>
  <c r="EN7" i="1"/>
  <c r="EM8" i="1"/>
  <c r="EN8" i="1"/>
  <c r="EM9" i="1"/>
  <c r="EN9" i="1"/>
  <c r="EM10" i="1"/>
  <c r="EN10" i="1"/>
  <c r="EM11" i="1"/>
  <c r="EN11" i="1"/>
  <c r="EM12" i="1"/>
  <c r="EN12" i="1"/>
  <c r="EM13" i="1"/>
  <c r="EN13" i="1"/>
  <c r="EM14" i="1"/>
  <c r="EN14" i="1"/>
  <c r="EM15" i="1"/>
  <c r="EN15" i="1"/>
  <c r="EM16" i="1"/>
  <c r="EN16" i="1"/>
  <c r="EM17" i="1"/>
  <c r="EN17" i="1"/>
  <c r="EM89" i="1"/>
  <c r="EN89" i="1"/>
  <c r="EM19" i="1"/>
  <c r="EN19" i="1"/>
  <c r="EM20" i="1"/>
  <c r="EN20" i="1"/>
  <c r="EM21" i="1"/>
  <c r="EN21" i="1"/>
  <c r="EM22" i="1"/>
  <c r="EN22" i="1"/>
  <c r="EM23" i="1"/>
  <c r="EN23" i="1"/>
  <c r="EM24" i="1"/>
  <c r="EN24" i="1"/>
  <c r="EM25" i="1"/>
  <c r="EN25" i="1"/>
  <c r="EM26" i="1"/>
  <c r="EN26" i="1"/>
  <c r="EM27" i="1"/>
  <c r="EN27" i="1"/>
  <c r="EM28" i="1"/>
  <c r="EN28" i="1"/>
  <c r="EM29" i="1"/>
  <c r="EN29" i="1"/>
  <c r="EM30" i="1"/>
  <c r="EN30" i="1"/>
  <c r="EM31" i="1"/>
  <c r="EN31" i="1"/>
  <c r="EM32" i="1"/>
  <c r="EN32" i="1"/>
  <c r="EM33" i="1"/>
  <c r="EN33" i="1"/>
  <c r="EM34" i="1"/>
  <c r="EN34" i="1"/>
  <c r="EM35" i="1"/>
  <c r="EN35" i="1"/>
  <c r="EM36" i="1"/>
  <c r="EN36" i="1"/>
  <c r="EM37" i="1"/>
  <c r="EN37" i="1"/>
  <c r="EM38" i="1"/>
  <c r="EN38" i="1"/>
  <c r="EM39" i="1"/>
  <c r="EN39" i="1"/>
  <c r="EM40" i="1"/>
  <c r="EN40" i="1"/>
  <c r="EM41" i="1"/>
  <c r="EN41" i="1"/>
  <c r="EM42" i="1"/>
  <c r="EN42" i="1"/>
  <c r="EM43" i="1"/>
  <c r="EN43" i="1"/>
  <c r="EM44" i="1"/>
  <c r="EN44" i="1"/>
  <c r="EM45" i="1"/>
  <c r="EN45" i="1"/>
  <c r="EM46" i="1"/>
  <c r="EN46" i="1"/>
  <c r="EM47" i="1"/>
  <c r="EN47" i="1"/>
  <c r="EM48" i="1"/>
  <c r="EN48" i="1"/>
  <c r="EM49" i="1"/>
  <c r="EN49" i="1"/>
  <c r="EM50" i="1"/>
  <c r="EN50" i="1"/>
  <c r="EM51" i="1"/>
  <c r="EN51" i="1"/>
  <c r="EM52" i="1"/>
  <c r="EN52" i="1"/>
  <c r="EM53" i="1"/>
  <c r="EN53" i="1"/>
  <c r="EM54" i="1"/>
  <c r="EN54" i="1"/>
  <c r="EM55" i="1"/>
  <c r="EN55" i="1"/>
  <c r="EM56" i="1"/>
  <c r="EN56" i="1"/>
  <c r="EM57" i="1"/>
  <c r="EN57" i="1"/>
  <c r="EM58" i="1"/>
  <c r="EN58" i="1"/>
  <c r="EM59" i="1"/>
  <c r="EN59" i="1"/>
  <c r="EM60" i="1"/>
  <c r="EN60" i="1"/>
  <c r="EM61" i="1"/>
  <c r="EN61" i="1"/>
  <c r="EM62" i="1"/>
  <c r="EN62" i="1"/>
  <c r="EM63" i="1"/>
  <c r="EN63" i="1"/>
  <c r="EM64" i="1"/>
  <c r="EN64" i="1"/>
  <c r="EM65" i="1"/>
  <c r="EN65" i="1"/>
  <c r="EM120" i="1"/>
  <c r="EN120" i="1"/>
  <c r="EM67" i="1"/>
  <c r="EN67" i="1"/>
  <c r="EM68" i="1"/>
  <c r="EN68" i="1"/>
  <c r="EM154" i="1"/>
  <c r="EN154" i="1"/>
  <c r="EM70" i="1"/>
  <c r="EN70" i="1"/>
  <c r="EM71" i="1"/>
  <c r="EN71" i="1"/>
  <c r="EM72" i="1"/>
  <c r="EN72" i="1"/>
  <c r="EM73" i="1"/>
  <c r="EN73" i="1"/>
  <c r="EM74" i="1"/>
  <c r="EN74" i="1"/>
  <c r="EM75" i="1"/>
  <c r="EN75" i="1"/>
  <c r="EM76" i="1"/>
  <c r="EN76" i="1"/>
  <c r="EM77" i="1"/>
  <c r="EN77" i="1"/>
  <c r="EM78" i="1"/>
  <c r="EN78" i="1"/>
  <c r="EM79" i="1"/>
  <c r="EN79" i="1"/>
  <c r="EM80" i="1"/>
  <c r="EN80" i="1"/>
  <c r="EM81" i="1"/>
  <c r="EN81" i="1"/>
  <c r="EM82" i="1"/>
  <c r="EN82" i="1"/>
  <c r="EM83" i="1"/>
  <c r="EN83" i="1"/>
  <c r="EM84" i="1"/>
  <c r="EN84" i="1"/>
  <c r="EM85" i="1"/>
  <c r="EN85" i="1"/>
  <c r="EM86" i="1"/>
  <c r="EN86" i="1"/>
  <c r="EM87" i="1"/>
  <c r="EN87" i="1"/>
  <c r="EM113" i="1"/>
  <c r="EN113" i="1"/>
  <c r="EM185" i="1"/>
  <c r="EN185" i="1"/>
  <c r="EM90" i="1"/>
  <c r="EN90" i="1"/>
  <c r="EM91" i="1"/>
  <c r="EN91" i="1"/>
  <c r="EM92" i="1"/>
  <c r="EN92" i="1"/>
  <c r="EM93" i="1"/>
  <c r="EN93" i="1"/>
  <c r="EM94" i="1"/>
  <c r="EN94" i="1"/>
  <c r="EM95" i="1"/>
  <c r="EN95" i="1"/>
  <c r="EM96" i="1"/>
  <c r="EN96" i="1"/>
  <c r="EM97" i="1"/>
  <c r="EN97" i="1"/>
  <c r="EM98" i="1"/>
  <c r="EN98" i="1"/>
  <c r="EM99" i="1"/>
  <c r="EN99" i="1"/>
  <c r="EM100" i="1"/>
  <c r="EN100" i="1"/>
  <c r="EM101" i="1"/>
  <c r="EN101" i="1"/>
  <c r="EM102" i="1"/>
  <c r="EN102" i="1"/>
  <c r="EM103" i="1"/>
  <c r="EN103" i="1"/>
  <c r="EM104" i="1"/>
  <c r="EN104" i="1"/>
  <c r="EM105" i="1"/>
  <c r="EN105" i="1"/>
  <c r="EM106" i="1"/>
  <c r="EN106" i="1"/>
  <c r="EM107" i="1"/>
  <c r="EN107" i="1"/>
  <c r="EM108" i="1"/>
  <c r="EN108" i="1"/>
  <c r="EM109" i="1"/>
  <c r="EN109" i="1"/>
  <c r="EM110" i="1"/>
  <c r="EN110" i="1"/>
  <c r="EM111" i="1"/>
  <c r="EN111" i="1"/>
  <c r="EM112" i="1"/>
  <c r="EN112" i="1"/>
  <c r="EM152" i="1"/>
  <c r="EN152" i="1"/>
  <c r="EM114" i="1"/>
  <c r="EN114" i="1"/>
  <c r="EM115" i="1"/>
  <c r="EN115" i="1"/>
  <c r="EM116" i="1"/>
  <c r="EN116" i="1"/>
  <c r="EM117" i="1"/>
  <c r="EN117" i="1"/>
  <c r="EM118" i="1"/>
  <c r="EN118" i="1"/>
  <c r="EM66" i="1"/>
  <c r="EN66" i="1"/>
  <c r="EM69" i="1"/>
  <c r="EN69" i="1"/>
  <c r="EM121" i="1"/>
  <c r="EN121" i="1"/>
  <c r="EM122" i="1"/>
  <c r="EN122" i="1"/>
  <c r="EM123" i="1"/>
  <c r="EN123" i="1"/>
  <c r="EM124" i="1"/>
  <c r="EN124" i="1"/>
  <c r="EM125" i="1"/>
  <c r="EN125" i="1"/>
  <c r="EM126" i="1"/>
  <c r="EN126" i="1"/>
  <c r="EM127" i="1"/>
  <c r="EN127" i="1"/>
  <c r="EM128" i="1"/>
  <c r="EN128" i="1"/>
  <c r="EM129" i="1"/>
  <c r="EN129" i="1"/>
  <c r="EM130" i="1"/>
  <c r="EN130" i="1"/>
  <c r="EM131" i="1"/>
  <c r="EN131" i="1"/>
  <c r="EM132" i="1"/>
  <c r="EN132" i="1"/>
  <c r="EM133" i="1"/>
  <c r="EN133" i="1"/>
  <c r="EM134" i="1"/>
  <c r="EN134" i="1"/>
  <c r="EM135" i="1"/>
  <c r="EN135" i="1"/>
  <c r="EM136" i="1"/>
  <c r="EN136" i="1"/>
  <c r="EM137" i="1"/>
  <c r="EN137" i="1"/>
  <c r="EM138" i="1"/>
  <c r="EN138" i="1"/>
  <c r="EM139" i="1"/>
  <c r="EN139" i="1"/>
  <c r="EM140" i="1"/>
  <c r="EN140" i="1"/>
  <c r="EM141" i="1"/>
  <c r="EN141" i="1"/>
  <c r="EM142" i="1"/>
  <c r="EN142" i="1"/>
  <c r="EM143" i="1"/>
  <c r="EN143" i="1"/>
  <c r="EM144" i="1"/>
  <c r="EN144" i="1"/>
  <c r="EM145" i="1"/>
  <c r="EN145" i="1"/>
  <c r="EM146" i="1"/>
  <c r="EN146" i="1"/>
  <c r="EM147" i="1"/>
  <c r="EN147" i="1"/>
  <c r="EM148" i="1"/>
  <c r="EN148" i="1"/>
  <c r="EM149" i="1"/>
  <c r="EN149" i="1"/>
  <c r="EM150" i="1"/>
  <c r="EN150" i="1"/>
  <c r="EM151" i="1"/>
  <c r="EN151" i="1"/>
  <c r="EM119" i="1"/>
  <c r="EN119" i="1"/>
  <c r="EM153" i="1"/>
  <c r="EN153" i="1"/>
  <c r="EM88" i="1"/>
  <c r="EN88" i="1"/>
  <c r="EM155" i="1"/>
  <c r="EN155" i="1"/>
  <c r="EM156" i="1"/>
  <c r="EN156" i="1"/>
  <c r="EM157" i="1"/>
  <c r="EN157" i="1"/>
  <c r="EM158" i="1"/>
  <c r="EN158" i="1"/>
  <c r="EM159" i="1"/>
  <c r="EN159" i="1"/>
  <c r="EM160" i="1"/>
  <c r="EN160" i="1"/>
  <c r="EM161" i="1"/>
  <c r="EN161" i="1"/>
  <c r="EM162" i="1"/>
  <c r="EN162" i="1"/>
  <c r="EM163" i="1"/>
  <c r="EN163" i="1"/>
  <c r="EM164" i="1"/>
  <c r="EN164" i="1"/>
  <c r="EM165" i="1"/>
  <c r="EN165" i="1"/>
  <c r="EM166" i="1"/>
  <c r="EN166" i="1"/>
  <c r="EM167" i="1"/>
  <c r="EN167" i="1"/>
  <c r="EM168" i="1"/>
  <c r="EN168" i="1"/>
  <c r="EM169" i="1"/>
  <c r="EN169" i="1"/>
  <c r="EM170" i="1"/>
  <c r="EN170" i="1"/>
  <c r="EM171" i="1"/>
  <c r="EN171" i="1"/>
  <c r="EM172" i="1"/>
  <c r="EN172" i="1"/>
  <c r="EM173" i="1"/>
  <c r="EN173" i="1"/>
  <c r="EM174" i="1"/>
  <c r="EN174" i="1"/>
  <c r="EM175" i="1"/>
  <c r="EN175" i="1"/>
  <c r="EM176" i="1"/>
  <c r="EN176" i="1"/>
  <c r="EM177" i="1"/>
  <c r="EN177" i="1"/>
  <c r="EM178" i="1"/>
  <c r="EN178" i="1"/>
  <c r="EM179" i="1"/>
  <c r="EN179" i="1"/>
  <c r="EM180" i="1"/>
  <c r="EN180" i="1"/>
  <c r="EM181" i="1"/>
  <c r="EN181" i="1"/>
  <c r="EM182" i="1"/>
  <c r="EN182" i="1"/>
  <c r="EM183" i="1"/>
  <c r="EN183" i="1"/>
  <c r="EM184" i="1"/>
  <c r="EN184" i="1"/>
  <c r="EM18" i="1"/>
  <c r="EN18" i="1"/>
  <c r="EM186" i="1"/>
  <c r="EN186" i="1"/>
  <c r="EM187" i="1"/>
  <c r="EN187" i="1"/>
  <c r="EM188" i="1"/>
  <c r="EN188" i="1"/>
  <c r="EM189" i="1"/>
  <c r="EN189" i="1"/>
  <c r="EM190" i="1"/>
  <c r="EN190" i="1"/>
  <c r="EM191" i="1"/>
  <c r="EN191" i="1"/>
  <c r="EM192" i="1"/>
  <c r="EN192" i="1"/>
  <c r="EM193" i="1"/>
  <c r="EN193" i="1"/>
  <c r="EM194" i="1"/>
  <c r="EN194" i="1"/>
  <c r="EM195" i="1"/>
  <c r="EN195" i="1"/>
  <c r="EM196" i="1"/>
  <c r="EN196" i="1"/>
  <c r="EM197" i="1"/>
  <c r="EN197" i="1"/>
  <c r="EM198" i="1"/>
  <c r="EN198" i="1"/>
  <c r="EM199" i="1"/>
  <c r="EN199" i="1"/>
  <c r="EM200" i="1"/>
  <c r="EN200" i="1"/>
  <c r="EM201" i="1"/>
  <c r="EN201" i="1"/>
  <c r="EM202" i="1"/>
  <c r="EN202" i="1"/>
  <c r="EM203" i="1"/>
  <c r="EN203" i="1"/>
  <c r="EM204" i="1"/>
  <c r="EN204" i="1"/>
  <c r="EM205" i="1"/>
  <c r="EN205" i="1"/>
  <c r="EM206" i="1"/>
  <c r="EN206" i="1"/>
  <c r="EM207" i="1"/>
  <c r="EN207" i="1"/>
  <c r="EM208" i="1"/>
  <c r="EN208" i="1"/>
  <c r="EM209" i="1"/>
  <c r="EN209" i="1"/>
  <c r="EM210" i="1"/>
  <c r="EN210" i="1"/>
  <c r="EM211" i="1"/>
  <c r="EN211" i="1"/>
  <c r="EM212" i="1"/>
  <c r="EN212" i="1"/>
  <c r="EM213" i="1"/>
  <c r="EN213" i="1"/>
  <c r="EM214" i="1"/>
  <c r="EN214" i="1"/>
  <c r="EM215" i="1"/>
  <c r="EN215" i="1"/>
  <c r="EM216" i="1"/>
  <c r="EN216" i="1"/>
  <c r="EM217" i="1"/>
  <c r="EN217" i="1"/>
  <c r="EM218" i="1"/>
  <c r="EN218" i="1"/>
  <c r="EM219" i="1"/>
  <c r="EN219" i="1"/>
  <c r="EM220" i="1"/>
  <c r="EN220" i="1"/>
  <c r="EM221" i="1"/>
  <c r="EN221" i="1"/>
  <c r="EM222" i="1"/>
  <c r="EN222" i="1"/>
  <c r="EM223" i="1"/>
  <c r="EN223" i="1"/>
  <c r="EM224" i="1"/>
  <c r="EN224" i="1"/>
  <c r="EM225" i="1"/>
  <c r="EN225" i="1"/>
  <c r="EM226" i="1"/>
  <c r="EN226" i="1"/>
  <c r="EM227" i="1"/>
  <c r="EN227" i="1"/>
  <c r="EM228" i="1"/>
  <c r="EN228" i="1"/>
  <c r="EM229" i="1"/>
  <c r="EN229" i="1"/>
  <c r="EM230" i="1"/>
  <c r="EN230" i="1"/>
  <c r="EM231" i="1"/>
  <c r="EN231" i="1"/>
  <c r="EM232" i="1"/>
  <c r="EN232" i="1"/>
  <c r="EM233" i="1"/>
  <c r="EN233" i="1"/>
  <c r="EM234" i="1"/>
  <c r="EN234" i="1"/>
  <c r="EM235" i="1"/>
  <c r="EN235" i="1"/>
  <c r="EM236" i="1"/>
  <c r="EN236" i="1"/>
  <c r="EM237" i="1"/>
  <c r="EN237" i="1"/>
  <c r="EM238" i="1"/>
  <c r="EN238" i="1"/>
  <c r="EM239" i="1"/>
  <c r="EN239" i="1"/>
  <c r="EM240" i="1"/>
  <c r="EN240" i="1"/>
  <c r="EM241" i="1"/>
  <c r="EN241" i="1"/>
  <c r="EM242" i="1"/>
  <c r="EN242" i="1"/>
  <c r="EM243" i="1"/>
  <c r="EN243" i="1"/>
  <c r="EM244" i="1"/>
  <c r="EN244" i="1"/>
  <c r="EM245" i="1"/>
  <c r="EN245" i="1"/>
  <c r="EM246" i="1"/>
  <c r="EN246" i="1"/>
  <c r="EM247" i="1"/>
  <c r="EN247" i="1"/>
  <c r="EM248" i="1"/>
  <c r="EN248" i="1"/>
  <c r="EM249" i="1"/>
  <c r="EN249" i="1"/>
  <c r="EM250" i="1"/>
  <c r="EN250" i="1"/>
  <c r="EM251" i="1"/>
  <c r="EN251" i="1"/>
  <c r="EM252" i="1"/>
  <c r="EN252" i="1"/>
  <c r="EM253" i="1"/>
  <c r="EN253" i="1"/>
  <c r="EM254" i="1"/>
  <c r="EN254" i="1"/>
  <c r="EM255" i="1"/>
  <c r="EN255" i="1"/>
  <c r="EM256" i="1"/>
  <c r="EN256" i="1"/>
  <c r="EM257" i="1"/>
  <c r="EN257" i="1"/>
  <c r="EM258" i="1"/>
  <c r="EN258" i="1"/>
  <c r="EM259" i="1"/>
  <c r="EN259" i="1"/>
  <c r="EM260" i="1"/>
  <c r="EN260" i="1"/>
  <c r="EM261" i="1"/>
  <c r="EN261" i="1"/>
  <c r="EM262" i="1"/>
  <c r="EN262" i="1"/>
  <c r="EM263" i="1"/>
  <c r="EN263" i="1"/>
  <c r="EM264" i="1"/>
  <c r="EN264" i="1"/>
  <c r="EM265" i="1"/>
  <c r="EN265" i="1"/>
  <c r="EM266" i="1"/>
  <c r="EN266" i="1"/>
  <c r="EM267" i="1"/>
  <c r="EN267" i="1"/>
  <c r="EM268" i="1"/>
  <c r="EN268" i="1"/>
  <c r="EM269" i="1"/>
  <c r="EN269" i="1"/>
  <c r="EM270" i="1"/>
  <c r="EN270" i="1"/>
  <c r="EN5" i="1"/>
  <c r="EY5" i="1"/>
  <c r="EH5" i="1"/>
  <c r="EP5" i="1" s="1"/>
  <c r="EH6" i="1"/>
  <c r="EP6" i="1" s="1"/>
  <c r="EH7" i="1"/>
  <c r="EP7" i="1" s="1"/>
  <c r="EH8" i="1"/>
  <c r="EP8" i="1" s="1"/>
  <c r="EH9" i="1"/>
  <c r="EP9" i="1" s="1"/>
  <c r="EH10" i="1"/>
  <c r="EP10" i="1" s="1"/>
  <c r="EH11" i="1"/>
  <c r="EP11" i="1" s="1"/>
  <c r="EH12" i="1"/>
  <c r="EP12" i="1" s="1"/>
  <c r="EH13" i="1"/>
  <c r="EP13" i="1" s="1"/>
  <c r="EH14" i="1"/>
  <c r="EP14" i="1" s="1"/>
  <c r="EH15" i="1"/>
  <c r="EP15" i="1" s="1"/>
  <c r="EH16" i="1"/>
  <c r="EP16" i="1" s="1"/>
  <c r="EH17" i="1"/>
  <c r="EP17" i="1" s="1"/>
  <c r="EH89" i="1"/>
  <c r="EP89" i="1" s="1"/>
  <c r="EH19" i="1"/>
  <c r="EP19" i="1" s="1"/>
  <c r="EH20" i="1"/>
  <c r="EP20" i="1" s="1"/>
  <c r="EH21" i="1"/>
  <c r="EP21" i="1" s="1"/>
  <c r="EH22" i="1"/>
  <c r="EP22" i="1" s="1"/>
  <c r="EH23" i="1"/>
  <c r="EP23" i="1" s="1"/>
  <c r="EH24" i="1"/>
  <c r="EP24" i="1" s="1"/>
  <c r="EH25" i="1"/>
  <c r="EP25" i="1" s="1"/>
  <c r="EH26" i="1"/>
  <c r="EP26" i="1" s="1"/>
  <c r="EH27" i="1"/>
  <c r="EP27" i="1" s="1"/>
  <c r="EH28" i="1"/>
  <c r="EP28" i="1" s="1"/>
  <c r="EH29" i="1"/>
  <c r="EP29" i="1" s="1"/>
  <c r="EH30" i="1"/>
  <c r="EP30" i="1" s="1"/>
  <c r="EH31" i="1"/>
  <c r="EP31" i="1" s="1"/>
  <c r="EH32" i="1"/>
  <c r="EP32" i="1" s="1"/>
  <c r="EH33" i="1"/>
  <c r="EP33" i="1" s="1"/>
  <c r="EH34" i="1"/>
  <c r="EP34" i="1" s="1"/>
  <c r="EH35" i="1"/>
  <c r="EP35" i="1" s="1"/>
  <c r="EH36" i="1"/>
  <c r="EP36" i="1" s="1"/>
  <c r="EH37" i="1"/>
  <c r="EP37" i="1" s="1"/>
  <c r="EH38" i="1"/>
  <c r="EP38" i="1" s="1"/>
  <c r="EH39" i="1"/>
  <c r="EP39" i="1" s="1"/>
  <c r="EH40" i="1"/>
  <c r="EP40" i="1" s="1"/>
  <c r="EH41" i="1"/>
  <c r="EP41" i="1" s="1"/>
  <c r="EH42" i="1"/>
  <c r="EP42" i="1" s="1"/>
  <c r="EH43" i="1"/>
  <c r="EP43" i="1" s="1"/>
  <c r="EH44" i="1"/>
  <c r="EP44" i="1" s="1"/>
  <c r="EH45" i="1"/>
  <c r="EP45" i="1" s="1"/>
  <c r="EH46" i="1"/>
  <c r="EP46" i="1" s="1"/>
  <c r="EH47" i="1"/>
  <c r="EP47" i="1" s="1"/>
  <c r="EH48" i="1"/>
  <c r="EP48" i="1" s="1"/>
  <c r="EH49" i="1"/>
  <c r="EP49" i="1" s="1"/>
  <c r="EH50" i="1"/>
  <c r="EP50" i="1" s="1"/>
  <c r="EH51" i="1"/>
  <c r="EP51" i="1" s="1"/>
  <c r="EH52" i="1"/>
  <c r="EP52" i="1" s="1"/>
  <c r="EH53" i="1"/>
  <c r="EP53" i="1" s="1"/>
  <c r="EH54" i="1"/>
  <c r="EP54" i="1" s="1"/>
  <c r="EH55" i="1"/>
  <c r="EP55" i="1" s="1"/>
  <c r="EH56" i="1"/>
  <c r="EP56" i="1" s="1"/>
  <c r="EH57" i="1"/>
  <c r="EP57" i="1" s="1"/>
  <c r="EH58" i="1"/>
  <c r="EP58" i="1" s="1"/>
  <c r="EH59" i="1"/>
  <c r="EP59" i="1" s="1"/>
  <c r="EH60" i="1"/>
  <c r="EP60" i="1" s="1"/>
  <c r="EH61" i="1"/>
  <c r="EP61" i="1" s="1"/>
  <c r="EH62" i="1"/>
  <c r="EP62" i="1" s="1"/>
  <c r="EH63" i="1"/>
  <c r="EP63" i="1" s="1"/>
  <c r="EH64" i="1"/>
  <c r="EP64" i="1" s="1"/>
  <c r="EH65" i="1"/>
  <c r="EP65" i="1" s="1"/>
  <c r="EH120" i="1"/>
  <c r="EP120" i="1" s="1"/>
  <c r="EH67" i="1"/>
  <c r="EP67" i="1" s="1"/>
  <c r="EH68" i="1"/>
  <c r="EP68" i="1" s="1"/>
  <c r="EH154" i="1"/>
  <c r="EP154" i="1" s="1"/>
  <c r="EH70" i="1"/>
  <c r="EP70" i="1" s="1"/>
  <c r="EH71" i="1"/>
  <c r="EP71" i="1" s="1"/>
  <c r="EH72" i="1"/>
  <c r="EP72" i="1" s="1"/>
  <c r="EH73" i="1"/>
  <c r="EP73" i="1" s="1"/>
  <c r="EH74" i="1"/>
  <c r="EP74" i="1" s="1"/>
  <c r="EH75" i="1"/>
  <c r="EP75" i="1" s="1"/>
  <c r="EH76" i="1"/>
  <c r="EP76" i="1" s="1"/>
  <c r="EH77" i="1"/>
  <c r="EP77" i="1" s="1"/>
  <c r="EH78" i="1"/>
  <c r="EP78" i="1" s="1"/>
  <c r="EH79" i="1"/>
  <c r="EP79" i="1" s="1"/>
  <c r="EH80" i="1"/>
  <c r="EP80" i="1" s="1"/>
  <c r="EH81" i="1"/>
  <c r="EP81" i="1" s="1"/>
  <c r="EH82" i="1"/>
  <c r="EP82" i="1" s="1"/>
  <c r="EH83" i="1"/>
  <c r="EP83" i="1" s="1"/>
  <c r="EH84" i="1"/>
  <c r="EP84" i="1" s="1"/>
  <c r="EH85" i="1"/>
  <c r="EP85" i="1" s="1"/>
  <c r="EH86" i="1"/>
  <c r="EP86" i="1" s="1"/>
  <c r="EH87" i="1"/>
  <c r="EP87" i="1" s="1"/>
  <c r="EH113" i="1"/>
  <c r="EP113" i="1" s="1"/>
  <c r="EH185" i="1"/>
  <c r="EP185" i="1" s="1"/>
  <c r="EH90" i="1"/>
  <c r="EP90" i="1" s="1"/>
  <c r="EH91" i="1"/>
  <c r="EP91" i="1" s="1"/>
  <c r="EH92" i="1"/>
  <c r="EP92" i="1" s="1"/>
  <c r="EH93" i="1"/>
  <c r="EP93" i="1" s="1"/>
  <c r="EH94" i="1"/>
  <c r="EP94" i="1" s="1"/>
  <c r="EH95" i="1"/>
  <c r="EP95" i="1" s="1"/>
  <c r="EH96" i="1"/>
  <c r="EP96" i="1" s="1"/>
  <c r="EH97" i="1"/>
  <c r="EP97" i="1" s="1"/>
  <c r="EH98" i="1"/>
  <c r="EP98" i="1" s="1"/>
  <c r="EH99" i="1"/>
  <c r="EP99" i="1" s="1"/>
  <c r="EH100" i="1"/>
  <c r="EP100" i="1" s="1"/>
  <c r="EH101" i="1"/>
  <c r="EP101" i="1" s="1"/>
  <c r="EH102" i="1"/>
  <c r="EP102" i="1" s="1"/>
  <c r="EH103" i="1"/>
  <c r="EP103" i="1" s="1"/>
  <c r="EH104" i="1"/>
  <c r="EP104" i="1" s="1"/>
  <c r="EH105" i="1"/>
  <c r="EP105" i="1" s="1"/>
  <c r="EH106" i="1"/>
  <c r="EP106" i="1" s="1"/>
  <c r="EH107" i="1"/>
  <c r="EP107" i="1" s="1"/>
  <c r="EH108" i="1"/>
  <c r="EP108" i="1" s="1"/>
  <c r="EH109" i="1"/>
  <c r="EP109" i="1" s="1"/>
  <c r="EH110" i="1"/>
  <c r="EP110" i="1" s="1"/>
  <c r="EH111" i="1"/>
  <c r="EP111" i="1" s="1"/>
  <c r="EH112" i="1"/>
  <c r="EP112" i="1" s="1"/>
  <c r="EH152" i="1"/>
  <c r="EP152" i="1" s="1"/>
  <c r="EH114" i="1"/>
  <c r="EP114" i="1" s="1"/>
  <c r="EH115" i="1"/>
  <c r="EP115" i="1" s="1"/>
  <c r="EH116" i="1"/>
  <c r="EP116" i="1" s="1"/>
  <c r="EH117" i="1"/>
  <c r="EP117" i="1" s="1"/>
  <c r="EH118" i="1"/>
  <c r="EP118" i="1" s="1"/>
  <c r="EH66" i="1"/>
  <c r="EP66" i="1" s="1"/>
  <c r="EH69" i="1"/>
  <c r="EP69" i="1" s="1"/>
  <c r="EH121" i="1"/>
  <c r="EP121" i="1" s="1"/>
  <c r="EH122" i="1"/>
  <c r="EP122" i="1" s="1"/>
  <c r="EH123" i="1"/>
  <c r="EP123" i="1" s="1"/>
  <c r="EH124" i="1"/>
  <c r="EP124" i="1" s="1"/>
  <c r="EH125" i="1"/>
  <c r="EP125" i="1" s="1"/>
  <c r="EH126" i="1"/>
  <c r="EP126" i="1" s="1"/>
  <c r="EH127" i="1"/>
  <c r="EP127" i="1" s="1"/>
  <c r="EH128" i="1"/>
  <c r="EP128" i="1" s="1"/>
  <c r="EH129" i="1"/>
  <c r="EP129" i="1" s="1"/>
  <c r="EH130" i="1"/>
  <c r="EP130" i="1" s="1"/>
  <c r="EH131" i="1"/>
  <c r="EP131" i="1" s="1"/>
  <c r="EH132" i="1"/>
  <c r="EP132" i="1" s="1"/>
  <c r="EH133" i="1"/>
  <c r="EP133" i="1" s="1"/>
  <c r="EH134" i="1"/>
  <c r="EP134" i="1" s="1"/>
  <c r="EH135" i="1"/>
  <c r="EP135" i="1" s="1"/>
  <c r="EH136" i="1"/>
  <c r="EP136" i="1" s="1"/>
  <c r="EH137" i="1"/>
  <c r="EP137" i="1" s="1"/>
  <c r="EH138" i="1"/>
  <c r="EP138" i="1" s="1"/>
  <c r="EH139" i="1"/>
  <c r="EP139" i="1" s="1"/>
  <c r="EH140" i="1"/>
  <c r="EP140" i="1" s="1"/>
  <c r="EH141" i="1"/>
  <c r="EP141" i="1" s="1"/>
  <c r="EH142" i="1"/>
  <c r="EP142" i="1" s="1"/>
  <c r="EH143" i="1"/>
  <c r="EP143" i="1" s="1"/>
  <c r="EH144" i="1"/>
  <c r="EP144" i="1" s="1"/>
  <c r="EH145" i="1"/>
  <c r="EP145" i="1" s="1"/>
  <c r="EH146" i="1"/>
  <c r="EP146" i="1" s="1"/>
  <c r="EH147" i="1"/>
  <c r="EP147" i="1" s="1"/>
  <c r="EH148" i="1"/>
  <c r="EP148" i="1" s="1"/>
  <c r="EH149" i="1"/>
  <c r="EP149" i="1" s="1"/>
  <c r="EH150" i="1"/>
  <c r="EP150" i="1" s="1"/>
  <c r="EH151" i="1"/>
  <c r="EP151" i="1" s="1"/>
  <c r="EH119" i="1"/>
  <c r="EP119" i="1" s="1"/>
  <c r="EH153" i="1"/>
  <c r="EP153" i="1" s="1"/>
  <c r="EH88" i="1"/>
  <c r="EP88" i="1" s="1"/>
  <c r="EH155" i="1"/>
  <c r="EP155" i="1" s="1"/>
  <c r="EH156" i="1"/>
  <c r="EP156" i="1" s="1"/>
  <c r="EH157" i="1"/>
  <c r="EP157" i="1" s="1"/>
  <c r="EH158" i="1"/>
  <c r="EP158" i="1" s="1"/>
  <c r="EH159" i="1"/>
  <c r="EP159" i="1" s="1"/>
  <c r="EH160" i="1"/>
  <c r="EP160" i="1" s="1"/>
  <c r="EH161" i="1"/>
  <c r="EP161" i="1" s="1"/>
  <c r="EH162" i="1"/>
  <c r="EP162" i="1" s="1"/>
  <c r="EH163" i="1"/>
  <c r="EP163" i="1" s="1"/>
  <c r="EH164" i="1"/>
  <c r="EP164" i="1" s="1"/>
  <c r="EH165" i="1"/>
  <c r="EP165" i="1" s="1"/>
  <c r="EH166" i="1"/>
  <c r="EP166" i="1" s="1"/>
  <c r="EH167" i="1"/>
  <c r="EP167" i="1" s="1"/>
  <c r="EH168" i="1"/>
  <c r="EP168" i="1" s="1"/>
  <c r="EH169" i="1"/>
  <c r="EP169" i="1" s="1"/>
  <c r="EH170" i="1"/>
  <c r="EP170" i="1" s="1"/>
  <c r="EH171" i="1"/>
  <c r="EP171" i="1" s="1"/>
  <c r="EH172" i="1"/>
  <c r="EP172" i="1" s="1"/>
  <c r="EH173" i="1"/>
  <c r="EP173" i="1" s="1"/>
  <c r="EH174" i="1"/>
  <c r="EP174" i="1" s="1"/>
  <c r="EH175" i="1"/>
  <c r="EP175" i="1" s="1"/>
  <c r="EH176" i="1"/>
  <c r="EP176" i="1" s="1"/>
  <c r="EH177" i="1"/>
  <c r="EP177" i="1" s="1"/>
  <c r="EH178" i="1"/>
  <c r="EP178" i="1" s="1"/>
  <c r="EH179" i="1"/>
  <c r="EP179" i="1" s="1"/>
  <c r="EH180" i="1"/>
  <c r="EP180" i="1" s="1"/>
  <c r="EH181" i="1"/>
  <c r="EP181" i="1" s="1"/>
  <c r="EH182" i="1"/>
  <c r="EP182" i="1" s="1"/>
  <c r="EH183" i="1"/>
  <c r="EP183" i="1" s="1"/>
  <c r="EH184" i="1"/>
  <c r="EP184" i="1" s="1"/>
  <c r="EH18" i="1"/>
  <c r="EP18" i="1" s="1"/>
  <c r="EH186" i="1"/>
  <c r="EP186" i="1" s="1"/>
  <c r="EH187" i="1"/>
  <c r="EP187" i="1" s="1"/>
  <c r="EH188" i="1"/>
  <c r="EP188" i="1" s="1"/>
  <c r="EH189" i="1"/>
  <c r="EP189" i="1" s="1"/>
  <c r="EH190" i="1"/>
  <c r="EP190" i="1" s="1"/>
  <c r="EH191" i="1"/>
  <c r="EP191" i="1" s="1"/>
  <c r="EH192" i="1"/>
  <c r="EP192" i="1" s="1"/>
  <c r="EH193" i="1"/>
  <c r="EP193" i="1" s="1"/>
  <c r="EH194" i="1"/>
  <c r="EP194" i="1" s="1"/>
  <c r="EH195" i="1"/>
  <c r="EP195" i="1" s="1"/>
  <c r="EH196" i="1"/>
  <c r="EP196" i="1" s="1"/>
  <c r="EH197" i="1"/>
  <c r="EP197" i="1" s="1"/>
  <c r="EH198" i="1"/>
  <c r="EP198" i="1" s="1"/>
  <c r="EH199" i="1"/>
  <c r="EP199" i="1" s="1"/>
  <c r="EH200" i="1"/>
  <c r="EP200" i="1" s="1"/>
  <c r="EH201" i="1"/>
  <c r="EP201" i="1" s="1"/>
  <c r="EH202" i="1"/>
  <c r="EP202" i="1" s="1"/>
  <c r="EH203" i="1"/>
  <c r="EP203" i="1" s="1"/>
  <c r="EH204" i="1"/>
  <c r="EP204" i="1" s="1"/>
  <c r="EH205" i="1"/>
  <c r="EP205" i="1" s="1"/>
  <c r="EH206" i="1"/>
  <c r="EP206" i="1" s="1"/>
  <c r="EH207" i="1"/>
  <c r="EP207" i="1" s="1"/>
  <c r="EH208" i="1"/>
  <c r="EP208" i="1" s="1"/>
  <c r="EH209" i="1"/>
  <c r="EP209" i="1" s="1"/>
  <c r="EH210" i="1"/>
  <c r="EP210" i="1" s="1"/>
  <c r="EH211" i="1"/>
  <c r="EP211" i="1" s="1"/>
  <c r="EH212" i="1"/>
  <c r="EP212" i="1" s="1"/>
  <c r="EH213" i="1"/>
  <c r="EP213" i="1" s="1"/>
  <c r="EH214" i="1"/>
  <c r="EP214" i="1" s="1"/>
  <c r="EH215" i="1"/>
  <c r="EP215" i="1" s="1"/>
  <c r="EH216" i="1"/>
  <c r="EP216" i="1" s="1"/>
  <c r="EH217" i="1"/>
  <c r="EP217" i="1" s="1"/>
  <c r="EH218" i="1"/>
  <c r="EP218" i="1" s="1"/>
  <c r="EH219" i="1"/>
  <c r="EP219" i="1" s="1"/>
  <c r="EH220" i="1"/>
  <c r="EP220" i="1" s="1"/>
  <c r="EH221" i="1"/>
  <c r="EP221" i="1" s="1"/>
  <c r="EH222" i="1"/>
  <c r="EP222" i="1" s="1"/>
  <c r="EH223" i="1"/>
  <c r="EP223" i="1" s="1"/>
  <c r="EH224" i="1"/>
  <c r="EP224" i="1" s="1"/>
  <c r="EH225" i="1"/>
  <c r="EP225" i="1" s="1"/>
  <c r="EH226" i="1"/>
  <c r="EP226" i="1" s="1"/>
  <c r="EH227" i="1"/>
  <c r="EP227" i="1" s="1"/>
  <c r="EH228" i="1"/>
  <c r="EP228" i="1" s="1"/>
  <c r="EH229" i="1"/>
  <c r="EP229" i="1" s="1"/>
  <c r="EH230" i="1"/>
  <c r="EP230" i="1" s="1"/>
  <c r="EH231" i="1"/>
  <c r="EP231" i="1" s="1"/>
  <c r="EH232" i="1"/>
  <c r="EP232" i="1" s="1"/>
  <c r="EH233" i="1"/>
  <c r="EP233" i="1" s="1"/>
  <c r="EH234" i="1"/>
  <c r="EP234" i="1" s="1"/>
  <c r="EH235" i="1"/>
  <c r="EP235" i="1" s="1"/>
  <c r="EH236" i="1"/>
  <c r="EP236" i="1" s="1"/>
  <c r="EH237" i="1"/>
  <c r="EP237" i="1" s="1"/>
  <c r="EH238" i="1"/>
  <c r="EP238" i="1" s="1"/>
  <c r="EH239" i="1"/>
  <c r="EP239" i="1" s="1"/>
  <c r="EH240" i="1"/>
  <c r="EP240" i="1" s="1"/>
  <c r="EH241" i="1"/>
  <c r="EP241" i="1" s="1"/>
  <c r="EH242" i="1"/>
  <c r="EP242" i="1" s="1"/>
  <c r="EH243" i="1"/>
  <c r="EP243" i="1" s="1"/>
  <c r="EH244" i="1"/>
  <c r="EP244" i="1" s="1"/>
  <c r="EH245" i="1"/>
  <c r="EP245" i="1" s="1"/>
  <c r="EH246" i="1"/>
  <c r="EP246" i="1" s="1"/>
  <c r="EH247" i="1"/>
  <c r="EP247" i="1" s="1"/>
  <c r="EH248" i="1"/>
  <c r="EP248" i="1" s="1"/>
  <c r="EH249" i="1"/>
  <c r="EP249" i="1" s="1"/>
  <c r="EH250" i="1"/>
  <c r="EP250" i="1" s="1"/>
  <c r="EH251" i="1"/>
  <c r="EP251" i="1" s="1"/>
  <c r="EH252" i="1"/>
  <c r="EP252" i="1" s="1"/>
  <c r="EH253" i="1"/>
  <c r="EP253" i="1" s="1"/>
  <c r="EH254" i="1"/>
  <c r="EP254" i="1" s="1"/>
  <c r="EH255" i="1"/>
  <c r="EP255" i="1" s="1"/>
  <c r="EH256" i="1"/>
  <c r="EP256" i="1" s="1"/>
  <c r="EH257" i="1"/>
  <c r="EP257" i="1" s="1"/>
  <c r="EH258" i="1"/>
  <c r="EP258" i="1" s="1"/>
  <c r="EH259" i="1"/>
  <c r="EP259" i="1" s="1"/>
  <c r="EH260" i="1"/>
  <c r="EP260" i="1" s="1"/>
  <c r="EH261" i="1"/>
  <c r="EP261" i="1" s="1"/>
  <c r="EH262" i="1"/>
  <c r="EP262" i="1" s="1"/>
  <c r="EH263" i="1"/>
  <c r="EP263" i="1" s="1"/>
  <c r="EH264" i="1"/>
  <c r="EP264" i="1" s="1"/>
  <c r="EH265" i="1"/>
  <c r="EP265" i="1" s="1"/>
  <c r="EH266" i="1"/>
  <c r="EP266" i="1" s="1"/>
  <c r="EH267" i="1"/>
  <c r="EP267" i="1" s="1"/>
  <c r="EH268" i="1"/>
  <c r="EP268" i="1" s="1"/>
  <c r="EH269" i="1"/>
  <c r="EP269" i="1" s="1"/>
  <c r="EH270" i="1"/>
  <c r="EP270" i="1" s="1"/>
  <c r="EW6" i="1"/>
  <c r="EW7" i="1"/>
  <c r="EW8" i="1"/>
  <c r="EW9" i="1"/>
  <c r="EW10" i="1"/>
  <c r="EW11" i="1"/>
  <c r="EW12" i="1"/>
  <c r="EW13" i="1"/>
  <c r="EW14" i="1"/>
  <c r="EW15" i="1"/>
  <c r="EW16" i="1"/>
  <c r="EW17" i="1"/>
  <c r="EW89" i="1"/>
  <c r="EW19"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120" i="1"/>
  <c r="EW67" i="1"/>
  <c r="EW68" i="1"/>
  <c r="EW154" i="1"/>
  <c r="EW70" i="1"/>
  <c r="EW71" i="1"/>
  <c r="EW72" i="1"/>
  <c r="EW73" i="1"/>
  <c r="EW74" i="1"/>
  <c r="EW75" i="1"/>
  <c r="EW76" i="1"/>
  <c r="EW77" i="1"/>
  <c r="EW78" i="1"/>
  <c r="EW79" i="1"/>
  <c r="EW80" i="1"/>
  <c r="EW81" i="1"/>
  <c r="EW82" i="1"/>
  <c r="EW83" i="1"/>
  <c r="EW84" i="1"/>
  <c r="EW85" i="1"/>
  <c r="EW86" i="1"/>
  <c r="EW87" i="1"/>
  <c r="EW113" i="1"/>
  <c r="EW185" i="1"/>
  <c r="EW90" i="1"/>
  <c r="EW91" i="1"/>
  <c r="EW92" i="1"/>
  <c r="EW93" i="1"/>
  <c r="EW94" i="1"/>
  <c r="EW95" i="1"/>
  <c r="EW96" i="1"/>
  <c r="EW97" i="1"/>
  <c r="EW98" i="1"/>
  <c r="EW99" i="1"/>
  <c r="EW100" i="1"/>
  <c r="EW101" i="1"/>
  <c r="EW102" i="1"/>
  <c r="EW103" i="1"/>
  <c r="EW104" i="1"/>
  <c r="EW105" i="1"/>
  <c r="EW106" i="1"/>
  <c r="EW107" i="1"/>
  <c r="EW108" i="1"/>
  <c r="EW109" i="1"/>
  <c r="EW110" i="1"/>
  <c r="EW111" i="1"/>
  <c r="EW112" i="1"/>
  <c r="EW152" i="1"/>
  <c r="EW114" i="1"/>
  <c r="EW115" i="1"/>
  <c r="EW116" i="1"/>
  <c r="EW117" i="1"/>
  <c r="EW118" i="1"/>
  <c r="EW66" i="1"/>
  <c r="EW69" i="1"/>
  <c r="EW121"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19" i="1"/>
  <c r="EW153" i="1"/>
  <c r="EW88" i="1"/>
  <c r="EW155"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 i="1"/>
  <c r="EW186"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Q5" i="1"/>
  <c r="EQ6" i="1"/>
  <c r="EQ7" i="1"/>
  <c r="EQ8" i="1"/>
  <c r="EQ9" i="1"/>
  <c r="EQ10" i="1"/>
  <c r="EQ11" i="1"/>
  <c r="EQ12" i="1"/>
  <c r="EQ13" i="1"/>
  <c r="EQ14" i="1"/>
  <c r="EQ15" i="1"/>
  <c r="EQ16" i="1"/>
  <c r="EQ17" i="1"/>
  <c r="EQ89" i="1"/>
  <c r="EQ19"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120" i="1"/>
  <c r="EQ67" i="1"/>
  <c r="EQ68" i="1"/>
  <c r="EQ154" i="1"/>
  <c r="EQ70" i="1"/>
  <c r="EQ71" i="1"/>
  <c r="EQ72" i="1"/>
  <c r="EQ73" i="1"/>
  <c r="EQ74" i="1"/>
  <c r="EQ75" i="1"/>
  <c r="EQ76" i="1"/>
  <c r="EQ77" i="1"/>
  <c r="EQ78" i="1"/>
  <c r="EQ79" i="1"/>
  <c r="EQ80" i="1"/>
  <c r="EQ81" i="1"/>
  <c r="EQ82" i="1"/>
  <c r="EQ83" i="1"/>
  <c r="EQ84" i="1"/>
  <c r="EQ85" i="1"/>
  <c r="EQ86" i="1"/>
  <c r="EQ87" i="1"/>
  <c r="EQ113" i="1"/>
  <c r="EQ185" i="1"/>
  <c r="EQ90" i="1"/>
  <c r="EQ91" i="1"/>
  <c r="EQ92" i="1"/>
  <c r="EQ93" i="1"/>
  <c r="EQ94" i="1"/>
  <c r="EQ95" i="1"/>
  <c r="EQ96" i="1"/>
  <c r="EQ97" i="1"/>
  <c r="EQ98" i="1"/>
  <c r="EQ99" i="1"/>
  <c r="EQ100" i="1"/>
  <c r="EQ101" i="1"/>
  <c r="EQ102" i="1"/>
  <c r="EQ103" i="1"/>
  <c r="EQ104" i="1"/>
  <c r="EQ105" i="1"/>
  <c r="EQ106" i="1"/>
  <c r="EQ107" i="1"/>
  <c r="EQ108" i="1"/>
  <c r="EQ109" i="1"/>
  <c r="EQ110" i="1"/>
  <c r="EQ111" i="1"/>
  <c r="EQ112" i="1"/>
  <c r="EQ152" i="1"/>
  <c r="EQ114" i="1"/>
  <c r="EQ115" i="1"/>
  <c r="EQ116" i="1"/>
  <c r="EQ117" i="1"/>
  <c r="EQ118" i="1"/>
  <c r="EQ66" i="1"/>
  <c r="EQ69" i="1"/>
  <c r="EQ121"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19" i="1"/>
  <c r="EQ153" i="1"/>
  <c r="EQ88" i="1"/>
  <c r="EQ155"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 i="1"/>
  <c r="EQ186"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Z5" i="1"/>
  <c r="EZ6" i="1"/>
  <c r="EZ7" i="1"/>
  <c r="EZ8" i="1"/>
  <c r="EZ9" i="1"/>
  <c r="EZ10" i="1"/>
  <c r="EZ11" i="1"/>
  <c r="EZ12" i="1"/>
  <c r="EZ13" i="1"/>
  <c r="EZ14" i="1"/>
  <c r="EZ15" i="1"/>
  <c r="EZ16" i="1"/>
  <c r="EZ17" i="1"/>
  <c r="EZ89" i="1"/>
  <c r="EZ19"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120" i="1"/>
  <c r="EZ67" i="1"/>
  <c r="EZ68" i="1"/>
  <c r="EZ154" i="1"/>
  <c r="EZ70" i="1"/>
  <c r="EZ71" i="1"/>
  <c r="EZ72" i="1"/>
  <c r="EZ73" i="1"/>
  <c r="EZ74" i="1"/>
  <c r="EZ75" i="1"/>
  <c r="EZ76" i="1"/>
  <c r="EZ77" i="1"/>
  <c r="EZ78" i="1"/>
  <c r="EZ79" i="1"/>
  <c r="EZ80" i="1"/>
  <c r="EZ81" i="1"/>
  <c r="EZ82" i="1"/>
  <c r="EZ83" i="1"/>
  <c r="EZ84" i="1"/>
  <c r="EZ85" i="1"/>
  <c r="EZ86" i="1"/>
  <c r="EZ87" i="1"/>
  <c r="EZ113" i="1"/>
  <c r="EZ185" i="1"/>
  <c r="EZ90" i="1"/>
  <c r="EZ91" i="1"/>
  <c r="EZ92" i="1"/>
  <c r="EZ93" i="1"/>
  <c r="EZ94" i="1"/>
  <c r="EZ95" i="1"/>
  <c r="EZ96" i="1"/>
  <c r="EZ97" i="1"/>
  <c r="EZ98" i="1"/>
  <c r="EZ99" i="1"/>
  <c r="EZ100" i="1"/>
  <c r="EZ101" i="1"/>
  <c r="EZ102" i="1"/>
  <c r="EZ103" i="1"/>
  <c r="EZ104" i="1"/>
  <c r="EZ105" i="1"/>
  <c r="EZ106" i="1"/>
  <c r="EZ107" i="1"/>
  <c r="EZ108" i="1"/>
  <c r="EZ109" i="1"/>
  <c r="EZ110" i="1"/>
  <c r="EZ111" i="1"/>
  <c r="EZ112" i="1"/>
  <c r="EZ152" i="1"/>
  <c r="EZ114" i="1"/>
  <c r="EZ115" i="1"/>
  <c r="EZ116" i="1"/>
  <c r="EZ117" i="1"/>
  <c r="EZ118" i="1"/>
  <c r="EZ66" i="1"/>
  <c r="EZ69" i="1"/>
  <c r="EZ121"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19" i="1"/>
  <c r="EZ153" i="1"/>
  <c r="EZ88" i="1"/>
  <c r="EZ155"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 i="1"/>
  <c r="EZ186"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Y6" i="1"/>
  <c r="EY7" i="1"/>
  <c r="EY8" i="1"/>
  <c r="EY9" i="1"/>
  <c r="EY10" i="1"/>
  <c r="EY11" i="1"/>
  <c r="EY12" i="1"/>
  <c r="EY13" i="1"/>
  <c r="EY14" i="1"/>
  <c r="EY15" i="1"/>
  <c r="EY16" i="1"/>
  <c r="EY17" i="1"/>
  <c r="EY89" i="1"/>
  <c r="EY19"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120" i="1"/>
  <c r="EY67" i="1"/>
  <c r="EY68" i="1"/>
  <c r="EY154" i="1"/>
  <c r="EY70" i="1"/>
  <c r="EY71" i="1"/>
  <c r="EY72" i="1"/>
  <c r="EY73" i="1"/>
  <c r="EY74" i="1"/>
  <c r="EY75" i="1"/>
  <c r="EY76" i="1"/>
  <c r="EY77" i="1"/>
  <c r="EY78" i="1"/>
  <c r="EY79" i="1"/>
  <c r="EY80" i="1"/>
  <c r="EY81" i="1"/>
  <c r="EY82" i="1"/>
  <c r="EY83" i="1"/>
  <c r="EY84" i="1"/>
  <c r="EY85" i="1"/>
  <c r="EY86" i="1"/>
  <c r="EY87" i="1"/>
  <c r="EY113" i="1"/>
  <c r="EY185" i="1"/>
  <c r="EY90" i="1"/>
  <c r="EY91" i="1"/>
  <c r="EY92" i="1"/>
  <c r="EY93" i="1"/>
  <c r="EY94" i="1"/>
  <c r="EY95" i="1"/>
  <c r="EY96" i="1"/>
  <c r="EY97" i="1"/>
  <c r="EY98" i="1"/>
  <c r="EY99" i="1"/>
  <c r="EY100" i="1"/>
  <c r="EY101" i="1"/>
  <c r="EY102" i="1"/>
  <c r="EY103" i="1"/>
  <c r="EY104" i="1"/>
  <c r="EY105" i="1"/>
  <c r="EY106" i="1"/>
  <c r="EY107" i="1"/>
  <c r="EY108" i="1"/>
  <c r="EY109" i="1"/>
  <c r="EY110" i="1"/>
  <c r="EY111" i="1"/>
  <c r="EY112" i="1"/>
  <c r="EY152" i="1"/>
  <c r="EY114" i="1"/>
  <c r="EY115" i="1"/>
  <c r="EY116" i="1"/>
  <c r="EY117" i="1"/>
  <c r="EY118" i="1"/>
  <c r="EY66" i="1"/>
  <c r="EY69" i="1"/>
  <c r="EY121"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19" i="1"/>
  <c r="EY153" i="1"/>
  <c r="EY88" i="1"/>
  <c r="EY155"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 i="1"/>
  <c r="EY186"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G6" i="1" a="1"/>
  <c r="EG6" i="1" s="1"/>
  <c r="EG7" i="1" a="1"/>
  <c r="EG7" i="1" s="1"/>
  <c r="EG8" i="1" a="1"/>
  <c r="EG8" i="1" s="1"/>
  <c r="EG9" i="1" a="1"/>
  <c r="EG9" i="1" s="1"/>
  <c r="EG10" i="1" a="1"/>
  <c r="EG10" i="1" s="1"/>
  <c r="EG11" i="1" a="1"/>
  <c r="EG11" i="1" s="1"/>
  <c r="EG12" i="1" a="1"/>
  <c r="EG12" i="1" s="1"/>
  <c r="EG13" i="1" a="1"/>
  <c r="EG13" i="1" s="1"/>
  <c r="EG14" i="1" a="1"/>
  <c r="EG14" i="1" s="1"/>
  <c r="EG15" i="1" a="1"/>
  <c r="EG15" i="1" s="1"/>
  <c r="EG16" i="1" a="1"/>
  <c r="EG16" i="1" s="1"/>
  <c r="EG17" i="1" a="1"/>
  <c r="EG17" i="1" s="1"/>
  <c r="EG89" i="1" a="1"/>
  <c r="EG89" i="1" s="1"/>
  <c r="EG19" i="1" a="1"/>
  <c r="EG19" i="1" s="1"/>
  <c r="EG20" i="1" a="1"/>
  <c r="EG20" i="1" s="1"/>
  <c r="EG21" i="1" a="1"/>
  <c r="EG21" i="1" s="1"/>
  <c r="EG22" i="1" a="1"/>
  <c r="EG22" i="1" s="1"/>
  <c r="EG23" i="1" a="1"/>
  <c r="EG23" i="1" s="1"/>
  <c r="EG24" i="1" a="1"/>
  <c r="EG24" i="1" s="1"/>
  <c r="EG25" i="1" a="1"/>
  <c r="EG25" i="1" s="1"/>
  <c r="EG26" i="1" a="1"/>
  <c r="EG26" i="1" s="1"/>
  <c r="EG27" i="1" a="1"/>
  <c r="EG27" i="1" s="1"/>
  <c r="EG28" i="1" a="1"/>
  <c r="EG28" i="1" s="1"/>
  <c r="EG29" i="1" a="1"/>
  <c r="EG29" i="1" s="1"/>
  <c r="EG30" i="1" a="1"/>
  <c r="EG30" i="1" s="1"/>
  <c r="EG31" i="1" a="1"/>
  <c r="EG31" i="1" s="1"/>
  <c r="EG32" i="1" a="1"/>
  <c r="EG32" i="1" s="1"/>
  <c r="EG33" i="1" a="1"/>
  <c r="EG33" i="1" s="1"/>
  <c r="EG34" i="1" a="1"/>
  <c r="EG34" i="1" s="1"/>
  <c r="EG35" i="1" a="1"/>
  <c r="EG35" i="1" s="1"/>
  <c r="EG36" i="1" a="1"/>
  <c r="EG36" i="1" s="1"/>
  <c r="EG37" i="1" a="1"/>
  <c r="EG37" i="1" s="1"/>
  <c r="EG38" i="1" a="1"/>
  <c r="EG38" i="1" s="1"/>
  <c r="EG39" i="1" a="1"/>
  <c r="EG39" i="1" s="1"/>
  <c r="EG40" i="1" a="1"/>
  <c r="EG40" i="1" s="1"/>
  <c r="EG41" i="1" a="1"/>
  <c r="EG41" i="1" s="1"/>
  <c r="EG42" i="1" a="1"/>
  <c r="EG42" i="1" s="1"/>
  <c r="EG43" i="1" a="1"/>
  <c r="EG43" i="1" s="1"/>
  <c r="EG44" i="1" a="1"/>
  <c r="EG44" i="1" s="1"/>
  <c r="EG45" i="1" a="1"/>
  <c r="EG45" i="1" s="1"/>
  <c r="EG46" i="1" a="1"/>
  <c r="EG46" i="1" s="1"/>
  <c r="EG47" i="1" a="1"/>
  <c r="EG47" i="1" s="1"/>
  <c r="EG48" i="1" a="1"/>
  <c r="EG48" i="1" s="1"/>
  <c r="EG49" i="1" a="1"/>
  <c r="EG49" i="1" s="1"/>
  <c r="EG50" i="1" a="1"/>
  <c r="EG50" i="1" s="1"/>
  <c r="EG51" i="1" a="1"/>
  <c r="EG51" i="1" s="1"/>
  <c r="EG52" i="1" a="1"/>
  <c r="EG52" i="1" s="1"/>
  <c r="EG53" i="1" a="1"/>
  <c r="EG53" i="1" s="1"/>
  <c r="EG54" i="1" a="1"/>
  <c r="EG54" i="1" s="1"/>
  <c r="EG55" i="1" a="1"/>
  <c r="EG55" i="1" s="1"/>
  <c r="EG56" i="1" a="1"/>
  <c r="EG56" i="1" s="1"/>
  <c r="EG57" i="1" a="1"/>
  <c r="EG57" i="1" s="1"/>
  <c r="EG58" i="1" a="1"/>
  <c r="EG58" i="1" s="1"/>
  <c r="EG59" i="1" a="1"/>
  <c r="EG59" i="1" s="1"/>
  <c r="EG60" i="1" a="1"/>
  <c r="EG60" i="1" s="1"/>
  <c r="EG61" i="1" a="1"/>
  <c r="EG61" i="1" s="1"/>
  <c r="EG62" i="1" a="1"/>
  <c r="EG62" i="1" s="1"/>
  <c r="EG63" i="1" a="1"/>
  <c r="EG63" i="1" s="1"/>
  <c r="EG64" i="1" a="1"/>
  <c r="EG64" i="1" s="1"/>
  <c r="EG65" i="1" a="1"/>
  <c r="EG65" i="1" s="1"/>
  <c r="EG120" i="1" a="1"/>
  <c r="EG120" i="1" s="1"/>
  <c r="EG67" i="1" a="1"/>
  <c r="EG67" i="1" s="1"/>
  <c r="EG68" i="1" a="1"/>
  <c r="EG68" i="1" s="1"/>
  <c r="EG154" i="1" a="1"/>
  <c r="EG154" i="1" s="1"/>
  <c r="EG70" i="1" a="1"/>
  <c r="EG70" i="1" s="1"/>
  <c r="EG71" i="1" a="1"/>
  <c r="EG71" i="1" s="1"/>
  <c r="EG72" i="1" a="1"/>
  <c r="EG72" i="1" s="1"/>
  <c r="EG73" i="1" a="1"/>
  <c r="EG73" i="1" s="1"/>
  <c r="EG74" i="1" a="1"/>
  <c r="EG74" i="1" s="1"/>
  <c r="EG75" i="1" a="1"/>
  <c r="EG75" i="1" s="1"/>
  <c r="EG76" i="1" a="1"/>
  <c r="EG76" i="1" s="1"/>
  <c r="EG77" i="1" a="1"/>
  <c r="EG77" i="1" s="1"/>
  <c r="EG78" i="1" a="1"/>
  <c r="EG78" i="1" s="1"/>
  <c r="EG79" i="1" a="1"/>
  <c r="EG79" i="1" s="1"/>
  <c r="EG80" i="1" a="1"/>
  <c r="EG80" i="1" s="1"/>
  <c r="EG81" i="1" a="1"/>
  <c r="EG81" i="1" s="1"/>
  <c r="EG82" i="1" a="1"/>
  <c r="EG82" i="1" s="1"/>
  <c r="EG83" i="1" a="1"/>
  <c r="EG83" i="1" s="1"/>
  <c r="EG84" i="1" a="1"/>
  <c r="EG84" i="1" s="1"/>
  <c r="EG85" i="1" a="1"/>
  <c r="EG85" i="1" s="1"/>
  <c r="EG86" i="1" a="1"/>
  <c r="EG86" i="1" s="1"/>
  <c r="EG87" i="1" a="1"/>
  <c r="EG87" i="1" s="1"/>
  <c r="EG113" i="1" a="1"/>
  <c r="EG113" i="1" s="1"/>
  <c r="EG185" i="1" a="1"/>
  <c r="EG185" i="1" s="1"/>
  <c r="EG90" i="1" a="1"/>
  <c r="EG90" i="1" s="1"/>
  <c r="EG91" i="1" a="1"/>
  <c r="EG91" i="1" s="1"/>
  <c r="EG92" i="1" a="1"/>
  <c r="EG92" i="1" s="1"/>
  <c r="EG93" i="1" a="1"/>
  <c r="EG93" i="1" s="1"/>
  <c r="EG94" i="1" a="1"/>
  <c r="EG94" i="1" s="1"/>
  <c r="EG95" i="1" a="1"/>
  <c r="EG95" i="1" s="1"/>
  <c r="EG96" i="1" a="1"/>
  <c r="EG96" i="1" s="1"/>
  <c r="EG97" i="1" a="1"/>
  <c r="EG97" i="1" s="1"/>
  <c r="EG98" i="1" a="1"/>
  <c r="EG98" i="1" s="1"/>
  <c r="EG99" i="1" a="1"/>
  <c r="EG99" i="1" s="1"/>
  <c r="EG100" i="1" a="1"/>
  <c r="EG100" i="1" s="1"/>
  <c r="EG101" i="1" a="1"/>
  <c r="EG101" i="1" s="1"/>
  <c r="EG102" i="1" a="1"/>
  <c r="EG102" i="1" s="1"/>
  <c r="EG103" i="1" a="1"/>
  <c r="EG103" i="1" s="1"/>
  <c r="EG104" i="1" a="1"/>
  <c r="EG104" i="1" s="1"/>
  <c r="EG105" i="1" a="1"/>
  <c r="EG105" i="1" s="1"/>
  <c r="EG106" i="1" a="1"/>
  <c r="EG106" i="1" s="1"/>
  <c r="EG107" i="1" a="1"/>
  <c r="EG107" i="1" s="1"/>
  <c r="EG108" i="1" a="1"/>
  <c r="EG108" i="1" s="1"/>
  <c r="EG109" i="1" a="1"/>
  <c r="EG109" i="1" s="1"/>
  <c r="EG110" i="1" a="1"/>
  <c r="EG110" i="1" s="1"/>
  <c r="EG111" i="1" a="1"/>
  <c r="EG111" i="1" s="1"/>
  <c r="EG112" i="1" a="1"/>
  <c r="EG112" i="1" s="1"/>
  <c r="EG152" i="1" a="1"/>
  <c r="EG152" i="1" s="1"/>
  <c r="EG114" i="1" a="1"/>
  <c r="EG114" i="1" s="1"/>
  <c r="EG115" i="1" a="1"/>
  <c r="EG115" i="1" s="1"/>
  <c r="EG116" i="1" a="1"/>
  <c r="EG116" i="1" s="1"/>
  <c r="EG117" i="1" a="1"/>
  <c r="EG117" i="1" s="1"/>
  <c r="EG118" i="1" a="1"/>
  <c r="EG118" i="1" s="1"/>
  <c r="EG66" i="1" a="1"/>
  <c r="EG66" i="1" s="1"/>
  <c r="EG69" i="1" a="1"/>
  <c r="EG69" i="1" s="1"/>
  <c r="EG121" i="1" a="1"/>
  <c r="EG121" i="1" s="1"/>
  <c r="EG122" i="1" a="1"/>
  <c r="EG122" i="1" s="1"/>
  <c r="EG123" i="1" a="1"/>
  <c r="EG123" i="1" s="1"/>
  <c r="EG124" i="1" a="1"/>
  <c r="EG124" i="1" s="1"/>
  <c r="EG125" i="1" a="1"/>
  <c r="EG125" i="1" s="1"/>
  <c r="EG126" i="1" a="1"/>
  <c r="EG126" i="1" s="1"/>
  <c r="EG127" i="1" a="1"/>
  <c r="EG127" i="1" s="1"/>
  <c r="EG128" i="1" a="1"/>
  <c r="EG128" i="1" s="1"/>
  <c r="EG129" i="1" a="1"/>
  <c r="EG129" i="1" s="1"/>
  <c r="EG130" i="1" a="1"/>
  <c r="EG130" i="1" s="1"/>
  <c r="EG131" i="1" a="1"/>
  <c r="EG131" i="1" s="1"/>
  <c r="EG132" i="1" a="1"/>
  <c r="EG132" i="1" s="1"/>
  <c r="EG133" i="1" a="1"/>
  <c r="EG133" i="1" s="1"/>
  <c r="EG134" i="1" a="1"/>
  <c r="EG134" i="1" s="1"/>
  <c r="EG135" i="1" a="1"/>
  <c r="EG135" i="1" s="1"/>
  <c r="EG136" i="1" a="1"/>
  <c r="EG136" i="1" s="1"/>
  <c r="EG137" i="1" a="1"/>
  <c r="EG137" i="1" s="1"/>
  <c r="EG138" i="1" a="1"/>
  <c r="EG138" i="1" s="1"/>
  <c r="EG139" i="1" a="1"/>
  <c r="EG139" i="1" s="1"/>
  <c r="EG140" i="1" a="1"/>
  <c r="EG140" i="1" s="1"/>
  <c r="EG141" i="1" a="1"/>
  <c r="EG141" i="1" s="1"/>
  <c r="EG142" i="1" a="1"/>
  <c r="EG142" i="1" s="1"/>
  <c r="EG143" i="1" a="1"/>
  <c r="EG143" i="1" s="1"/>
  <c r="EG144" i="1" a="1"/>
  <c r="EG144" i="1" s="1"/>
  <c r="EG145" i="1" a="1"/>
  <c r="EG145" i="1" s="1"/>
  <c r="EG146" i="1" a="1"/>
  <c r="EG146" i="1" s="1"/>
  <c r="EG147" i="1" a="1"/>
  <c r="EG147" i="1" s="1"/>
  <c r="EG148" i="1" a="1"/>
  <c r="EG148" i="1" s="1"/>
  <c r="EG149" i="1" a="1"/>
  <c r="EG149" i="1" s="1"/>
  <c r="EG150" i="1" a="1"/>
  <c r="EG150" i="1" s="1"/>
  <c r="EG151" i="1" a="1"/>
  <c r="EG151" i="1" s="1"/>
  <c r="EG119" i="1" a="1"/>
  <c r="EG119" i="1" s="1"/>
  <c r="EG153" i="1" a="1"/>
  <c r="EG153" i="1" s="1"/>
  <c r="EG88" i="1" a="1"/>
  <c r="EG88" i="1" s="1"/>
  <c r="EG155" i="1" a="1"/>
  <c r="EG155" i="1" s="1"/>
  <c r="EG156" i="1" a="1"/>
  <c r="EG156" i="1" s="1"/>
  <c r="EG157" i="1" a="1"/>
  <c r="EG157" i="1" s="1"/>
  <c r="EG158" i="1" a="1"/>
  <c r="EG158" i="1" s="1"/>
  <c r="EG159" i="1" a="1"/>
  <c r="EG159" i="1" s="1"/>
  <c r="EG160" i="1" a="1"/>
  <c r="EG160" i="1" s="1"/>
  <c r="EG161" i="1" a="1"/>
  <c r="EG161" i="1" s="1"/>
  <c r="EG162" i="1" a="1"/>
  <c r="EG162" i="1" s="1"/>
  <c r="EG163" i="1" a="1"/>
  <c r="EG163" i="1" s="1"/>
  <c r="EG164" i="1" a="1"/>
  <c r="EG164" i="1" s="1"/>
  <c r="EG165" i="1" a="1"/>
  <c r="EG165" i="1" s="1"/>
  <c r="EG166" i="1" a="1"/>
  <c r="EG166" i="1" s="1"/>
  <c r="EG167" i="1" a="1"/>
  <c r="EG167" i="1" s="1"/>
  <c r="EG168" i="1" a="1"/>
  <c r="EG168" i="1" s="1"/>
  <c r="EG169" i="1" a="1"/>
  <c r="EG169" i="1" s="1"/>
  <c r="EG170" i="1" a="1"/>
  <c r="EG170" i="1" s="1"/>
  <c r="EG171" i="1" a="1"/>
  <c r="EG171" i="1" s="1"/>
  <c r="EG172" i="1" a="1"/>
  <c r="EG172" i="1" s="1"/>
  <c r="EG173" i="1" a="1"/>
  <c r="EG173" i="1" s="1"/>
  <c r="EG174" i="1" a="1"/>
  <c r="EG174" i="1" s="1"/>
  <c r="EG175" i="1" a="1"/>
  <c r="EG175" i="1" s="1"/>
  <c r="EG176" i="1" a="1"/>
  <c r="EG176" i="1" s="1"/>
  <c r="EG177" i="1" a="1"/>
  <c r="EG177" i="1" s="1"/>
  <c r="EG178" i="1" a="1"/>
  <c r="EG178" i="1" s="1"/>
  <c r="EG179" i="1" a="1"/>
  <c r="EG179" i="1" s="1"/>
  <c r="EG180" i="1" a="1"/>
  <c r="EG180" i="1" s="1"/>
  <c r="EG181" i="1" a="1"/>
  <c r="EG181" i="1" s="1"/>
  <c r="EG182" i="1" a="1"/>
  <c r="EG182" i="1" s="1"/>
  <c r="EG183" i="1" a="1"/>
  <c r="EG183" i="1" s="1"/>
  <c r="EG184" i="1" a="1"/>
  <c r="EG184" i="1" s="1"/>
  <c r="EG18" i="1" a="1"/>
  <c r="EG18" i="1" s="1"/>
  <c r="EG186" i="1" a="1"/>
  <c r="EG186" i="1" s="1"/>
  <c r="EG187" i="1" a="1"/>
  <c r="EG187" i="1" s="1"/>
  <c r="EG188" i="1" a="1"/>
  <c r="EG188" i="1" s="1"/>
  <c r="EG189" i="1" a="1"/>
  <c r="EG189" i="1" s="1"/>
  <c r="EG190" i="1" a="1"/>
  <c r="EG190" i="1" s="1"/>
  <c r="EG191" i="1" a="1"/>
  <c r="EG191" i="1" s="1"/>
  <c r="EG192" i="1" a="1"/>
  <c r="EG192" i="1" s="1"/>
  <c r="EG193" i="1" a="1"/>
  <c r="EG193" i="1" s="1"/>
  <c r="EG194" i="1" a="1"/>
  <c r="EG194" i="1" s="1"/>
  <c r="EG195" i="1" a="1"/>
  <c r="EG195" i="1" s="1"/>
  <c r="EG196" i="1" a="1"/>
  <c r="EG196" i="1" s="1"/>
  <c r="EG197" i="1" a="1"/>
  <c r="EG197" i="1" s="1"/>
  <c r="EG198" i="1" a="1"/>
  <c r="EG198" i="1" s="1"/>
  <c r="EG199" i="1" a="1"/>
  <c r="EG199" i="1" s="1"/>
  <c r="EG200" i="1" a="1"/>
  <c r="EG200" i="1" s="1"/>
  <c r="EG201" i="1" a="1"/>
  <c r="EG201" i="1" s="1"/>
  <c r="EG202" i="1" a="1"/>
  <c r="EG202" i="1" s="1"/>
  <c r="EG203" i="1" a="1"/>
  <c r="EG203" i="1" s="1"/>
  <c r="EG204" i="1" a="1"/>
  <c r="EG204" i="1" s="1"/>
  <c r="EG205" i="1" a="1"/>
  <c r="EG205" i="1" s="1"/>
  <c r="EG206" i="1" a="1"/>
  <c r="EG206" i="1" s="1"/>
  <c r="EG207" i="1" a="1"/>
  <c r="EG207" i="1" s="1"/>
  <c r="EG208" i="1" a="1"/>
  <c r="EG208" i="1" s="1"/>
  <c r="EG209" i="1" a="1"/>
  <c r="EG209" i="1" s="1"/>
  <c r="EG210" i="1" a="1"/>
  <c r="EG210" i="1" s="1"/>
  <c r="EG211" i="1" a="1"/>
  <c r="EG211" i="1" s="1"/>
  <c r="EG212" i="1" a="1"/>
  <c r="EG212" i="1" s="1"/>
  <c r="EG213" i="1" a="1"/>
  <c r="EG213" i="1" s="1"/>
  <c r="EG214" i="1" a="1"/>
  <c r="EG214" i="1" s="1"/>
  <c r="EG215" i="1" a="1"/>
  <c r="EG215" i="1" s="1"/>
  <c r="EG216" i="1" a="1"/>
  <c r="EG216" i="1" s="1"/>
  <c r="EG217" i="1" a="1"/>
  <c r="EG217" i="1" s="1"/>
  <c r="EG218" i="1" a="1"/>
  <c r="EG218" i="1" s="1"/>
  <c r="EG219" i="1" a="1"/>
  <c r="EG219" i="1" s="1"/>
  <c r="EG220" i="1" a="1"/>
  <c r="EG220" i="1" s="1"/>
  <c r="EG221" i="1" a="1"/>
  <c r="EG221" i="1" s="1"/>
  <c r="EG222" i="1" a="1"/>
  <c r="EG222" i="1" s="1"/>
  <c r="EG223" i="1" a="1"/>
  <c r="EG223" i="1" s="1"/>
  <c r="EG224" i="1" a="1"/>
  <c r="EG224" i="1" s="1"/>
  <c r="EG225" i="1" a="1"/>
  <c r="EG225" i="1" s="1"/>
  <c r="EG226" i="1" a="1"/>
  <c r="EG226" i="1" s="1"/>
  <c r="EG227" i="1" a="1"/>
  <c r="EG227" i="1" s="1"/>
  <c r="EG228" i="1" a="1"/>
  <c r="EG228" i="1" s="1"/>
  <c r="EG229" i="1" a="1"/>
  <c r="EG229" i="1" s="1"/>
  <c r="EG230" i="1" a="1"/>
  <c r="EG230" i="1" s="1"/>
  <c r="EG231" i="1" a="1"/>
  <c r="EG231" i="1" s="1"/>
  <c r="EG232" i="1" a="1"/>
  <c r="EG232" i="1" s="1"/>
  <c r="EG233" i="1" a="1"/>
  <c r="EG233" i="1" s="1"/>
  <c r="EG234" i="1" a="1"/>
  <c r="EG234" i="1" s="1"/>
  <c r="EG235" i="1" a="1"/>
  <c r="EG235" i="1" s="1"/>
  <c r="EG236" i="1" a="1"/>
  <c r="EG236" i="1" s="1"/>
  <c r="EG237" i="1" a="1"/>
  <c r="EG237" i="1" s="1"/>
  <c r="EG238" i="1" a="1"/>
  <c r="EG238" i="1" s="1"/>
  <c r="EG239" i="1" a="1"/>
  <c r="EG239" i="1" s="1"/>
  <c r="EG240" i="1" a="1"/>
  <c r="EG240" i="1" s="1"/>
  <c r="EG241" i="1" a="1"/>
  <c r="EG241" i="1" s="1"/>
  <c r="EG242" i="1" a="1"/>
  <c r="EG242" i="1" s="1"/>
  <c r="EG243" i="1" a="1"/>
  <c r="EG243" i="1" s="1"/>
  <c r="EG244" i="1" a="1"/>
  <c r="EG244" i="1" s="1"/>
  <c r="EG245" i="1" a="1"/>
  <c r="EG245" i="1" s="1"/>
  <c r="EG246" i="1" a="1"/>
  <c r="EG246" i="1" s="1"/>
  <c r="EG247" i="1" a="1"/>
  <c r="EG247" i="1" s="1"/>
  <c r="EG248" i="1" a="1"/>
  <c r="EG248" i="1" s="1"/>
  <c r="EG249" i="1" a="1"/>
  <c r="EG249" i="1" s="1"/>
  <c r="EG250" i="1" a="1"/>
  <c r="EG250" i="1" s="1"/>
  <c r="EG251" i="1" a="1"/>
  <c r="EG251" i="1" s="1"/>
  <c r="EG252" i="1" a="1"/>
  <c r="EG252" i="1" s="1"/>
  <c r="EG253" i="1" a="1"/>
  <c r="EG253" i="1" s="1"/>
  <c r="EG254" i="1" a="1"/>
  <c r="EG254" i="1" s="1"/>
  <c r="EG255" i="1" a="1"/>
  <c r="EG255" i="1" s="1"/>
  <c r="EG256" i="1" a="1"/>
  <c r="EG256" i="1" s="1"/>
  <c r="EG257" i="1" a="1"/>
  <c r="EG257" i="1" s="1"/>
  <c r="EG258" i="1" a="1"/>
  <c r="EG258" i="1" s="1"/>
  <c r="EG259" i="1" a="1"/>
  <c r="EG259" i="1" s="1"/>
  <c r="EG260" i="1" a="1"/>
  <c r="EG260" i="1" s="1"/>
  <c r="EG261" i="1" a="1"/>
  <c r="EG261" i="1" s="1"/>
  <c r="EG262" i="1" a="1"/>
  <c r="EG262" i="1" s="1"/>
  <c r="EG263" i="1" a="1"/>
  <c r="EG263" i="1" s="1"/>
  <c r="EG264" i="1" a="1"/>
  <c r="EG264" i="1" s="1"/>
  <c r="EG265" i="1" a="1"/>
  <c r="EG265" i="1" s="1"/>
  <c r="EG266" i="1" a="1"/>
  <c r="EG266" i="1" s="1"/>
  <c r="EG267" i="1" a="1"/>
  <c r="EG267" i="1" s="1"/>
  <c r="EG268" i="1" a="1"/>
  <c r="EG268" i="1" s="1"/>
  <c r="EG269" i="1" a="1"/>
  <c r="EG269" i="1" s="1"/>
  <c r="EG270" i="1" a="1"/>
  <c r="EG270" i="1" s="1"/>
  <c r="EG5" i="1" a="1"/>
  <c r="EG5" i="1" s="1"/>
  <c r="EV6" i="1"/>
  <c r="EV7" i="1"/>
  <c r="EV8" i="1"/>
  <c r="EV9" i="1"/>
  <c r="EV10" i="1"/>
  <c r="EV11" i="1"/>
  <c r="EV12" i="1"/>
  <c r="EV13" i="1"/>
  <c r="EV14" i="1"/>
  <c r="EV15" i="1"/>
  <c r="EV16" i="1"/>
  <c r="EV17" i="1"/>
  <c r="EV89" i="1"/>
  <c r="EV19"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120" i="1"/>
  <c r="EV67" i="1"/>
  <c r="EV68" i="1"/>
  <c r="EV154" i="1"/>
  <c r="EV70" i="1"/>
  <c r="EV71" i="1"/>
  <c r="EV72" i="1"/>
  <c r="EV73" i="1"/>
  <c r="EV74" i="1"/>
  <c r="EV75" i="1"/>
  <c r="EV76" i="1"/>
  <c r="EV77" i="1"/>
  <c r="EV78" i="1"/>
  <c r="EV79" i="1"/>
  <c r="EV80" i="1"/>
  <c r="EV81" i="1"/>
  <c r="EV82" i="1"/>
  <c r="EV83" i="1"/>
  <c r="EV84" i="1"/>
  <c r="EV85" i="1"/>
  <c r="EV86" i="1"/>
  <c r="EV87" i="1"/>
  <c r="EV113" i="1"/>
  <c r="EV185" i="1"/>
  <c r="EV90" i="1"/>
  <c r="EV91" i="1"/>
  <c r="EV92" i="1"/>
  <c r="EV93" i="1"/>
  <c r="EV94" i="1"/>
  <c r="EV95" i="1"/>
  <c r="EV96" i="1"/>
  <c r="EV97" i="1"/>
  <c r="EV98" i="1"/>
  <c r="EV99" i="1"/>
  <c r="EV100" i="1"/>
  <c r="EV101" i="1"/>
  <c r="EV102" i="1"/>
  <c r="EV103" i="1"/>
  <c r="EV104" i="1"/>
  <c r="EV105" i="1"/>
  <c r="EV106" i="1"/>
  <c r="EV107" i="1"/>
  <c r="EV108" i="1"/>
  <c r="EV109" i="1"/>
  <c r="EV110" i="1"/>
  <c r="EV111" i="1"/>
  <c r="EV112" i="1"/>
  <c r="EV152" i="1"/>
  <c r="EV114" i="1"/>
  <c r="EV115" i="1"/>
  <c r="EV116" i="1"/>
  <c r="EV117" i="1"/>
  <c r="EV118" i="1"/>
  <c r="EV66" i="1"/>
  <c r="EV69" i="1"/>
  <c r="EV121"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19" i="1"/>
  <c r="EV153" i="1"/>
  <c r="EV88" i="1"/>
  <c r="EV155"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 i="1"/>
  <c r="EV186"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5" i="1"/>
  <c r="CB211" i="1" l="1"/>
  <c r="CB172" i="1"/>
  <c r="CB156" i="1"/>
  <c r="CB124" i="1"/>
  <c r="CB108" i="1"/>
  <c r="CB44" i="1"/>
  <c r="CB12" i="1"/>
  <c r="CB251" i="1"/>
  <c r="CB243" i="1"/>
  <c r="CB235" i="1"/>
  <c r="CB219" i="1"/>
  <c r="CD6" i="1"/>
  <c r="CD269" i="1"/>
  <c r="CD246" i="1"/>
  <c r="CD214" i="1"/>
  <c r="CB207" i="1"/>
  <c r="CB199" i="1"/>
  <c r="CB195" i="1"/>
  <c r="CB115" i="1"/>
  <c r="CD26" i="1"/>
  <c r="CD22" i="1"/>
  <c r="CB263" i="1"/>
  <c r="CB259" i="1"/>
  <c r="CB227" i="1"/>
  <c r="CB140" i="1"/>
  <c r="CB100" i="1"/>
  <c r="CB84" i="1"/>
  <c r="CB76" i="1"/>
  <c r="CB187" i="1"/>
  <c r="CB179" i="1"/>
  <c r="CD182" i="1"/>
  <c r="CD154" i="1"/>
  <c r="CD150" i="1"/>
  <c r="CB92" i="1"/>
  <c r="CD270" i="1"/>
  <c r="CD262" i="1"/>
  <c r="CB255" i="1"/>
  <c r="CB247" i="1"/>
  <c r="CD198" i="1"/>
  <c r="CB191" i="1"/>
  <c r="CB183" i="1"/>
  <c r="CD122" i="1"/>
  <c r="CD118" i="1"/>
  <c r="CB83" i="1"/>
  <c r="CB68" i="1"/>
  <c r="CB60" i="1"/>
  <c r="CB52" i="1"/>
  <c r="CB267" i="1"/>
  <c r="CB203" i="1"/>
  <c r="CB239" i="1"/>
  <c r="CB231" i="1"/>
  <c r="CB164" i="1"/>
  <c r="CB148" i="1"/>
  <c r="CD90" i="1"/>
  <c r="CD86" i="1"/>
  <c r="CB51" i="1"/>
  <c r="CB36" i="1"/>
  <c r="CB28" i="1"/>
  <c r="CB20" i="1"/>
  <c r="CD230" i="1"/>
  <c r="CB223" i="1"/>
  <c r="CB215" i="1"/>
  <c r="CB132" i="1"/>
  <c r="CB116" i="1"/>
  <c r="CD58" i="1"/>
  <c r="CD54" i="1"/>
  <c r="CB19" i="1"/>
  <c r="CB11" i="1"/>
  <c r="CD261" i="1"/>
  <c r="CD258" i="1"/>
  <c r="CD245" i="1"/>
  <c r="CD242" i="1"/>
  <c r="CD229" i="1"/>
  <c r="CD226" i="1"/>
  <c r="CD213" i="1"/>
  <c r="CD210" i="1"/>
  <c r="CD197" i="1"/>
  <c r="CD194" i="1"/>
  <c r="CD181" i="1"/>
  <c r="CD178" i="1"/>
  <c r="CD174" i="1"/>
  <c r="CD146" i="1"/>
  <c r="CD142" i="1"/>
  <c r="CD114" i="1"/>
  <c r="CD110" i="1"/>
  <c r="CB107" i="1"/>
  <c r="CD82" i="1"/>
  <c r="CD78" i="1"/>
  <c r="CB75" i="1"/>
  <c r="CD50" i="1"/>
  <c r="CD46" i="1"/>
  <c r="CB43" i="1"/>
  <c r="CD18" i="1"/>
  <c r="CD14" i="1"/>
  <c r="CD10" i="1"/>
  <c r="CB270" i="1"/>
  <c r="CD257" i="1"/>
  <c r="CD254" i="1"/>
  <c r="CD241" i="1"/>
  <c r="CD238" i="1"/>
  <c r="CD225" i="1"/>
  <c r="CD222" i="1"/>
  <c r="CD209" i="1"/>
  <c r="CD206" i="1"/>
  <c r="CD193" i="1"/>
  <c r="CD190" i="1"/>
  <c r="CD177" i="1"/>
  <c r="CD170" i="1"/>
  <c r="CD166" i="1"/>
  <c r="CD138" i="1"/>
  <c r="CD134" i="1"/>
  <c r="CB131" i="1"/>
  <c r="CD106" i="1"/>
  <c r="CD102" i="1"/>
  <c r="CB99" i="1"/>
  <c r="CD74" i="1"/>
  <c r="CD70" i="1"/>
  <c r="CB67" i="1"/>
  <c r="CD42" i="1"/>
  <c r="CD38" i="1"/>
  <c r="CB35" i="1"/>
  <c r="CD266" i="1"/>
  <c r="CD253" i="1"/>
  <c r="CD250" i="1"/>
  <c r="CD237" i="1"/>
  <c r="CD234" i="1"/>
  <c r="CD221" i="1"/>
  <c r="CD218" i="1"/>
  <c r="CD205" i="1"/>
  <c r="CD202" i="1"/>
  <c r="CD189" i="1"/>
  <c r="CD186" i="1"/>
  <c r="CD162" i="1"/>
  <c r="CD158" i="1"/>
  <c r="CD130" i="1"/>
  <c r="CD126" i="1"/>
  <c r="CB123" i="1"/>
  <c r="CD98" i="1"/>
  <c r="CD94" i="1"/>
  <c r="CB91" i="1"/>
  <c r="CD66" i="1"/>
  <c r="CD62" i="1"/>
  <c r="CB59" i="1"/>
  <c r="CD34" i="1"/>
  <c r="CD30" i="1"/>
  <c r="CB27" i="1"/>
  <c r="CD265" i="1"/>
  <c r="CD249" i="1"/>
  <c r="CD233" i="1"/>
  <c r="CD217" i="1"/>
  <c r="CD201" i="1"/>
  <c r="CD185" i="1"/>
  <c r="CB269" i="1"/>
  <c r="CB265" i="1"/>
  <c r="CB261" i="1"/>
  <c r="CB257" i="1"/>
  <c r="CB253" i="1"/>
  <c r="CB249" i="1"/>
  <c r="CB245" i="1"/>
  <c r="CB241" i="1"/>
  <c r="CB237" i="1"/>
  <c r="CB233" i="1"/>
  <c r="CB229" i="1"/>
  <c r="CB225" i="1"/>
  <c r="CB221" i="1"/>
  <c r="CB217" i="1"/>
  <c r="CB213" i="1"/>
  <c r="CB209" i="1"/>
  <c r="CB205" i="1"/>
  <c r="CB201" i="1"/>
  <c r="CB197" i="1"/>
  <c r="CB193" i="1"/>
  <c r="CB189" i="1"/>
  <c r="CB185" i="1"/>
  <c r="CB181" i="1"/>
  <c r="CB177" i="1"/>
  <c r="CB174" i="1"/>
  <c r="CD168" i="1"/>
  <c r="CB166" i="1"/>
  <c r="CD160" i="1"/>
  <c r="CB158" i="1"/>
  <c r="CD152" i="1"/>
  <c r="CB150" i="1"/>
  <c r="CD144" i="1"/>
  <c r="CB142" i="1"/>
  <c r="CD136" i="1"/>
  <c r="CB134" i="1"/>
  <c r="CD128" i="1"/>
  <c r="CB126" i="1"/>
  <c r="CD120" i="1"/>
  <c r="CB118" i="1"/>
  <c r="CD112" i="1"/>
  <c r="CB110" i="1"/>
  <c r="CD104" i="1"/>
  <c r="CB102" i="1"/>
  <c r="CD96" i="1"/>
  <c r="CB94" i="1"/>
  <c r="CD88" i="1"/>
  <c r="CB86" i="1"/>
  <c r="CD80" i="1"/>
  <c r="CB78" i="1"/>
  <c r="CD72" i="1"/>
  <c r="CB70" i="1"/>
  <c r="CD64" i="1"/>
  <c r="CB62" i="1"/>
  <c r="CD56" i="1"/>
  <c r="CB54" i="1"/>
  <c r="CD48" i="1"/>
  <c r="CB46" i="1"/>
  <c r="CD40" i="1"/>
  <c r="CB38" i="1"/>
  <c r="CD32" i="1"/>
  <c r="CB30" i="1"/>
  <c r="CD24" i="1"/>
  <c r="CB22" i="1"/>
  <c r="CD16" i="1"/>
  <c r="CB14" i="1"/>
  <c r="CD8" i="1"/>
  <c r="CB5" i="1"/>
  <c r="CE5" i="1" s="1"/>
  <c r="CD268" i="1"/>
  <c r="CB266" i="1"/>
  <c r="CD264" i="1"/>
  <c r="CB262" i="1"/>
  <c r="CD260" i="1"/>
  <c r="CB258" i="1"/>
  <c r="CD256" i="1"/>
  <c r="CB254" i="1"/>
  <c r="CD252" i="1"/>
  <c r="CB250" i="1"/>
  <c r="CD248" i="1"/>
  <c r="CB246" i="1"/>
  <c r="CD244" i="1"/>
  <c r="CB242" i="1"/>
  <c r="CD240" i="1"/>
  <c r="CB238" i="1"/>
  <c r="CD236" i="1"/>
  <c r="CB234" i="1"/>
  <c r="CD232" i="1"/>
  <c r="CB230" i="1"/>
  <c r="CD228" i="1"/>
  <c r="CB226" i="1"/>
  <c r="CD224" i="1"/>
  <c r="CB222" i="1"/>
  <c r="CD220" i="1"/>
  <c r="CB218" i="1"/>
  <c r="CD216" i="1"/>
  <c r="CB214" i="1"/>
  <c r="CD212" i="1"/>
  <c r="CB210" i="1"/>
  <c r="CD208" i="1"/>
  <c r="CB206" i="1"/>
  <c r="CD204" i="1"/>
  <c r="CB202" i="1"/>
  <c r="CD200" i="1"/>
  <c r="CB198" i="1"/>
  <c r="CD196" i="1"/>
  <c r="CB194" i="1"/>
  <c r="CD192" i="1"/>
  <c r="CB190" i="1"/>
  <c r="CD188" i="1"/>
  <c r="CB186" i="1"/>
  <c r="CD184" i="1"/>
  <c r="CB182" i="1"/>
  <c r="CD180" i="1"/>
  <c r="CB178" i="1"/>
  <c r="CD176" i="1"/>
  <c r="CB168" i="1"/>
  <c r="CB160" i="1"/>
  <c r="CB152" i="1"/>
  <c r="CB144" i="1"/>
  <c r="CB136" i="1"/>
  <c r="CB128" i="1"/>
  <c r="CB120" i="1"/>
  <c r="CB112" i="1"/>
  <c r="CB104" i="1"/>
  <c r="CB96" i="1"/>
  <c r="CB88" i="1"/>
  <c r="CB80" i="1"/>
  <c r="CB72" i="1"/>
  <c r="CB64" i="1"/>
  <c r="CB56" i="1"/>
  <c r="CB48" i="1"/>
  <c r="CB40" i="1"/>
  <c r="CB32" i="1"/>
  <c r="CB24" i="1"/>
  <c r="CB16" i="1"/>
  <c r="CB8" i="1"/>
  <c r="CD267" i="1"/>
  <c r="CD263" i="1"/>
  <c r="CD259" i="1"/>
  <c r="CD255" i="1"/>
  <c r="CD251" i="1"/>
  <c r="CD247" i="1"/>
  <c r="CD243" i="1"/>
  <c r="CD239" i="1"/>
  <c r="CD235" i="1"/>
  <c r="CD231" i="1"/>
  <c r="CD227" i="1"/>
  <c r="CD223" i="1"/>
  <c r="CD219" i="1"/>
  <c r="CD215" i="1"/>
  <c r="CD211" i="1"/>
  <c r="CD207" i="1"/>
  <c r="CD203" i="1"/>
  <c r="CD199" i="1"/>
  <c r="CD195" i="1"/>
  <c r="CD191" i="1"/>
  <c r="CD187" i="1"/>
  <c r="CD183" i="1"/>
  <c r="CD179" i="1"/>
  <c r="CB175" i="1"/>
  <c r="CD172" i="1"/>
  <c r="CB170" i="1"/>
  <c r="CD164" i="1"/>
  <c r="CB162" i="1"/>
  <c r="CD156" i="1"/>
  <c r="CB154" i="1"/>
  <c r="CD148" i="1"/>
  <c r="CB146" i="1"/>
  <c r="CD140" i="1"/>
  <c r="CB138" i="1"/>
  <c r="CB135" i="1"/>
  <c r="CD132" i="1"/>
  <c r="CB130" i="1"/>
  <c r="CB127" i="1"/>
  <c r="CD124" i="1"/>
  <c r="CB122" i="1"/>
  <c r="CB119" i="1"/>
  <c r="CD116" i="1"/>
  <c r="CB114" i="1"/>
  <c r="CB111" i="1"/>
  <c r="CD108" i="1"/>
  <c r="CB106" i="1"/>
  <c r="CB103" i="1"/>
  <c r="CD100" i="1"/>
  <c r="CB98" i="1"/>
  <c r="CB95" i="1"/>
  <c r="CD92" i="1"/>
  <c r="CB90" i="1"/>
  <c r="CB87" i="1"/>
  <c r="CD84" i="1"/>
  <c r="CB82" i="1"/>
  <c r="CB79" i="1"/>
  <c r="CD76" i="1"/>
  <c r="CB74" i="1"/>
  <c r="CB71" i="1"/>
  <c r="CD68" i="1"/>
  <c r="CB66" i="1"/>
  <c r="CB63" i="1"/>
  <c r="CD60" i="1"/>
  <c r="CB58" i="1"/>
  <c r="CB55" i="1"/>
  <c r="CD52" i="1"/>
  <c r="CB50" i="1"/>
  <c r="CB47" i="1"/>
  <c r="CD44" i="1"/>
  <c r="CB42" i="1"/>
  <c r="CB39" i="1"/>
  <c r="CD36" i="1"/>
  <c r="CB34" i="1"/>
  <c r="CB31" i="1"/>
  <c r="CD28" i="1"/>
  <c r="CB26" i="1"/>
  <c r="CB23" i="1"/>
  <c r="CD20" i="1"/>
  <c r="CB18" i="1"/>
  <c r="CB15" i="1"/>
  <c r="CD12" i="1"/>
  <c r="CB10" i="1"/>
  <c r="CB7" i="1"/>
  <c r="CB268" i="1"/>
  <c r="CB264" i="1"/>
  <c r="CB260" i="1"/>
  <c r="CB256" i="1"/>
  <c r="CB252" i="1"/>
  <c r="CB248" i="1"/>
  <c r="CB244" i="1"/>
  <c r="CB240" i="1"/>
  <c r="CB236" i="1"/>
  <c r="CB232" i="1"/>
  <c r="CB228" i="1"/>
  <c r="CB224" i="1"/>
  <c r="CB220" i="1"/>
  <c r="CB216" i="1"/>
  <c r="CB212" i="1"/>
  <c r="CB208" i="1"/>
  <c r="CB204" i="1"/>
  <c r="CB200" i="1"/>
  <c r="CB196" i="1"/>
  <c r="CB192" i="1"/>
  <c r="CB188" i="1"/>
  <c r="CB184" i="1"/>
  <c r="CB180" i="1"/>
  <c r="CB176" i="1"/>
  <c r="CD175" i="1"/>
  <c r="CD173" i="1"/>
  <c r="CB173" i="1"/>
  <c r="CB171" i="1"/>
  <c r="CD171" i="1"/>
  <c r="CD169" i="1"/>
  <c r="CB169" i="1"/>
  <c r="CB167" i="1"/>
  <c r="CD167" i="1"/>
  <c r="CD165" i="1"/>
  <c r="CB165" i="1"/>
  <c r="CB163" i="1"/>
  <c r="CD163" i="1"/>
  <c r="CD161" i="1"/>
  <c r="CB161" i="1"/>
  <c r="CB159" i="1"/>
  <c r="CD159" i="1"/>
  <c r="CD157" i="1"/>
  <c r="CB157" i="1"/>
  <c r="CB155" i="1"/>
  <c r="CD155" i="1"/>
  <c r="CD153" i="1"/>
  <c r="CB153" i="1"/>
  <c r="CB151" i="1"/>
  <c r="CD151" i="1"/>
  <c r="CD149" i="1"/>
  <c r="CB149" i="1"/>
  <c r="CB147" i="1"/>
  <c r="CD147" i="1"/>
  <c r="CD145" i="1"/>
  <c r="CB145" i="1"/>
  <c r="CB143" i="1"/>
  <c r="CD143" i="1"/>
  <c r="CD141" i="1"/>
  <c r="CB141" i="1"/>
  <c r="CB139" i="1"/>
  <c r="CD139" i="1"/>
  <c r="CD137" i="1"/>
  <c r="CB137" i="1"/>
  <c r="CD133" i="1"/>
  <c r="CB133" i="1"/>
  <c r="CD129" i="1"/>
  <c r="CB129" i="1"/>
  <c r="CD125" i="1"/>
  <c r="CB125" i="1"/>
  <c r="CD121" i="1"/>
  <c r="CB121" i="1"/>
  <c r="CD117" i="1"/>
  <c r="CB117" i="1"/>
  <c r="CD113" i="1"/>
  <c r="CB113" i="1"/>
  <c r="CD109" i="1"/>
  <c r="CB109" i="1"/>
  <c r="CD105" i="1"/>
  <c r="CB105" i="1"/>
  <c r="CD101" i="1"/>
  <c r="CB101" i="1"/>
  <c r="CD97" i="1"/>
  <c r="CB97" i="1"/>
  <c r="CD93" i="1"/>
  <c r="CB93" i="1"/>
  <c r="CD89" i="1"/>
  <c r="CB89" i="1"/>
  <c r="CD85" i="1"/>
  <c r="CB85" i="1"/>
  <c r="CD81" i="1"/>
  <c r="CB81" i="1"/>
  <c r="CD77" i="1"/>
  <c r="CB77" i="1"/>
  <c r="CD73" i="1"/>
  <c r="CB73" i="1"/>
  <c r="CD69" i="1"/>
  <c r="CB69" i="1"/>
  <c r="CD65" i="1"/>
  <c r="CB65" i="1"/>
  <c r="CD61" i="1"/>
  <c r="CB61" i="1"/>
  <c r="CD57" i="1"/>
  <c r="CB57" i="1"/>
  <c r="CD53" i="1"/>
  <c r="CB53" i="1"/>
  <c r="CD49" i="1"/>
  <c r="CB49" i="1"/>
  <c r="CD45" i="1"/>
  <c r="CB45" i="1"/>
  <c r="CD41" i="1"/>
  <c r="CB41" i="1"/>
  <c r="CD37" i="1"/>
  <c r="CB37" i="1"/>
  <c r="CD33" i="1"/>
  <c r="CB33" i="1"/>
  <c r="CD29" i="1"/>
  <c r="CB29" i="1"/>
  <c r="CD25" i="1"/>
  <c r="CB25" i="1"/>
  <c r="CD21" i="1"/>
  <c r="CB21" i="1"/>
  <c r="CD17" i="1"/>
  <c r="CB17" i="1"/>
  <c r="CD13" i="1"/>
  <c r="CB13" i="1"/>
  <c r="CD9" i="1"/>
  <c r="CB9" i="1"/>
  <c r="CD135" i="1"/>
  <c r="CD131" i="1"/>
  <c r="CD127" i="1"/>
  <c r="CD123" i="1"/>
  <c r="CD119" i="1"/>
  <c r="CD115" i="1"/>
  <c r="CD111" i="1"/>
  <c r="CD107" i="1"/>
  <c r="CD103" i="1"/>
  <c r="CD99" i="1"/>
  <c r="CD95" i="1"/>
  <c r="CD91" i="1"/>
  <c r="CD87" i="1"/>
  <c r="CD83" i="1"/>
  <c r="CD79" i="1"/>
  <c r="CD75" i="1"/>
  <c r="CD71" i="1"/>
  <c r="CD67" i="1"/>
  <c r="CD63" i="1"/>
  <c r="CD59" i="1"/>
  <c r="CD55" i="1"/>
  <c r="CD51" i="1"/>
  <c r="CD47" i="1"/>
  <c r="CD43" i="1"/>
  <c r="CD39" i="1"/>
  <c r="CD35" i="1"/>
  <c r="CD31" i="1"/>
  <c r="CD27" i="1"/>
  <c r="CD23" i="1"/>
  <c r="CD19" i="1"/>
  <c r="CD15" i="1"/>
  <c r="CD11" i="1"/>
  <c r="CD7" i="1"/>
  <c r="CD5" i="1"/>
  <c r="CB6" i="1"/>
  <c r="CJ267" i="1"/>
  <c r="CJ263" i="1"/>
  <c r="CJ259" i="1"/>
  <c r="CJ255" i="1"/>
  <c r="CJ251" i="1"/>
  <c r="CJ247" i="1"/>
  <c r="CJ243" i="1"/>
  <c r="CJ239" i="1"/>
  <c r="CJ235" i="1"/>
  <c r="CJ231" i="1"/>
  <c r="CJ227" i="1"/>
  <c r="CJ223" i="1"/>
  <c r="CJ219" i="1"/>
  <c r="CJ215" i="1"/>
  <c r="CJ211" i="1"/>
  <c r="CJ207" i="1"/>
  <c r="CJ203" i="1"/>
  <c r="CJ199" i="1"/>
  <c r="CJ195" i="1"/>
  <c r="CJ191" i="1"/>
  <c r="CJ187" i="1"/>
  <c r="CJ183" i="1"/>
  <c r="CJ179" i="1"/>
  <c r="CJ175" i="1"/>
  <c r="CJ171" i="1"/>
  <c r="CJ167" i="1"/>
  <c r="CJ163" i="1"/>
  <c r="CJ159" i="1"/>
  <c r="CJ155" i="1"/>
  <c r="CJ151" i="1"/>
  <c r="CJ147" i="1"/>
  <c r="CJ143" i="1"/>
  <c r="CJ139" i="1"/>
  <c r="CJ135" i="1"/>
  <c r="CJ131" i="1"/>
  <c r="CJ127" i="1"/>
  <c r="CJ123" i="1"/>
  <c r="CJ119" i="1"/>
  <c r="CJ115" i="1"/>
  <c r="CJ111" i="1"/>
  <c r="CJ107" i="1"/>
  <c r="CJ103" i="1"/>
  <c r="CJ99" i="1"/>
  <c r="CJ95" i="1"/>
  <c r="CJ91" i="1"/>
  <c r="CJ87" i="1"/>
  <c r="CJ83" i="1"/>
  <c r="CJ79" i="1"/>
  <c r="CJ75" i="1"/>
  <c r="CJ71" i="1"/>
  <c r="CJ67" i="1"/>
  <c r="CJ63" i="1"/>
  <c r="CJ59" i="1"/>
  <c r="CJ55" i="1"/>
  <c r="CJ51" i="1"/>
  <c r="CJ47" i="1"/>
  <c r="CJ43" i="1"/>
  <c r="CJ39" i="1"/>
  <c r="CJ35" i="1"/>
  <c r="CJ31" i="1"/>
  <c r="CJ27" i="1"/>
  <c r="CJ23" i="1"/>
  <c r="CJ19" i="1"/>
  <c r="CJ15" i="1"/>
  <c r="CJ11" i="1"/>
  <c r="CJ7" i="1"/>
  <c r="CJ270" i="1"/>
  <c r="CJ266" i="1"/>
  <c r="CJ262" i="1"/>
  <c r="CJ258" i="1"/>
  <c r="CJ254" i="1"/>
  <c r="CJ250" i="1"/>
  <c r="CJ246" i="1"/>
  <c r="CJ242" i="1"/>
  <c r="CJ238" i="1"/>
  <c r="CJ234" i="1"/>
  <c r="CJ230" i="1"/>
  <c r="CJ226" i="1"/>
  <c r="CJ222" i="1"/>
  <c r="CJ218" i="1"/>
  <c r="CJ214" i="1"/>
  <c r="CJ210" i="1"/>
  <c r="CJ206" i="1"/>
  <c r="CJ202" i="1"/>
  <c r="CJ198" i="1"/>
  <c r="CJ194" i="1"/>
  <c r="CJ190" i="1"/>
  <c r="CJ186" i="1"/>
  <c r="CJ182" i="1"/>
  <c r="CJ178" i="1"/>
  <c r="CJ174" i="1"/>
  <c r="CJ170" i="1"/>
  <c r="CJ166" i="1"/>
  <c r="CJ162" i="1"/>
  <c r="CJ158" i="1"/>
  <c r="CJ154" i="1"/>
  <c r="CJ150" i="1"/>
  <c r="CJ146" i="1"/>
  <c r="CJ142" i="1"/>
  <c r="CJ138" i="1"/>
  <c r="CJ134" i="1"/>
  <c r="CJ130" i="1"/>
  <c r="CJ126" i="1"/>
  <c r="CJ122" i="1"/>
  <c r="CJ118" i="1"/>
  <c r="CJ114" i="1"/>
  <c r="CJ110" i="1"/>
  <c r="CJ106" i="1"/>
  <c r="CJ102" i="1"/>
  <c r="CJ98" i="1"/>
  <c r="CJ94" i="1"/>
  <c r="CJ90" i="1"/>
  <c r="CJ86" i="1"/>
  <c r="CJ82" i="1"/>
  <c r="CJ78" i="1"/>
  <c r="CJ74" i="1"/>
  <c r="CJ70" i="1"/>
  <c r="CJ66" i="1"/>
  <c r="CJ62" i="1"/>
  <c r="CJ58" i="1"/>
  <c r="CJ54" i="1"/>
  <c r="CJ50" i="1"/>
  <c r="CJ46" i="1"/>
  <c r="CJ42" i="1"/>
  <c r="CJ38" i="1"/>
  <c r="CJ34" i="1"/>
  <c r="CJ30" i="1"/>
  <c r="CJ26" i="1"/>
  <c r="CJ22" i="1"/>
  <c r="CJ18" i="1"/>
  <c r="CJ14" i="1"/>
  <c r="CJ10" i="1"/>
  <c r="CJ6" i="1"/>
  <c r="CJ5" i="1"/>
  <c r="CJ269" i="1"/>
  <c r="CJ265" i="1"/>
  <c r="CJ261" i="1"/>
  <c r="CJ257" i="1"/>
  <c r="CJ253" i="1"/>
  <c r="CJ249" i="1"/>
  <c r="CJ245" i="1"/>
  <c r="CJ237" i="1"/>
  <c r="CJ233" i="1"/>
  <c r="CJ229" i="1"/>
  <c r="CJ225" i="1"/>
  <c r="CJ221" i="1"/>
  <c r="CJ217" i="1"/>
  <c r="CJ213" i="1"/>
  <c r="CJ209" i="1"/>
  <c r="CJ205" i="1"/>
  <c r="CJ201" i="1"/>
  <c r="CJ197" i="1"/>
  <c r="CJ193" i="1"/>
  <c r="CJ189" i="1"/>
  <c r="CJ185" i="1"/>
  <c r="CJ181" i="1"/>
  <c r="CJ177" i="1"/>
  <c r="CJ173" i="1"/>
  <c r="CJ169" i="1"/>
  <c r="CJ165" i="1"/>
  <c r="CJ161" i="1"/>
  <c r="CJ157" i="1"/>
  <c r="CJ153" i="1"/>
  <c r="CJ149" i="1"/>
  <c r="CJ145" i="1"/>
  <c r="CJ141" i="1"/>
  <c r="CJ137" i="1"/>
  <c r="CJ133" i="1"/>
  <c r="CJ129" i="1"/>
  <c r="CJ125" i="1"/>
  <c r="CJ121" i="1"/>
  <c r="CJ117" i="1"/>
  <c r="CJ113" i="1"/>
  <c r="CJ109" i="1"/>
  <c r="CJ105" i="1"/>
  <c r="CJ101" i="1"/>
  <c r="CJ97" i="1"/>
  <c r="CJ93" i="1"/>
  <c r="CJ89" i="1"/>
  <c r="CJ85" i="1"/>
  <c r="CJ81" i="1"/>
  <c r="CJ77" i="1"/>
  <c r="CJ73" i="1"/>
  <c r="CJ69" i="1"/>
  <c r="CJ65" i="1"/>
  <c r="CJ61" i="1"/>
  <c r="CJ57" i="1"/>
  <c r="CJ53" i="1"/>
  <c r="CJ45" i="1"/>
  <c r="CJ41" i="1"/>
  <c r="CJ37" i="1"/>
  <c r="CJ268" i="1"/>
  <c r="CJ264" i="1"/>
  <c r="CJ260" i="1"/>
  <c r="CJ256" i="1"/>
  <c r="CJ252" i="1"/>
  <c r="CJ248" i="1"/>
  <c r="CJ244" i="1"/>
  <c r="CJ240" i="1"/>
  <c r="CJ236" i="1"/>
  <c r="CJ232" i="1"/>
  <c r="CJ228" i="1"/>
  <c r="CJ224" i="1"/>
  <c r="CJ220" i="1"/>
  <c r="CJ216" i="1"/>
  <c r="CJ212" i="1"/>
  <c r="CJ208" i="1"/>
  <c r="CJ204" i="1"/>
  <c r="CJ200" i="1"/>
  <c r="CJ196" i="1"/>
  <c r="CJ192" i="1"/>
  <c r="CJ188" i="1"/>
  <c r="CJ184" i="1"/>
  <c r="CJ180" i="1"/>
  <c r="CJ176" i="1"/>
  <c r="CJ172" i="1"/>
  <c r="CJ168" i="1"/>
  <c r="CJ164" i="1"/>
  <c r="CJ160" i="1"/>
  <c r="CJ156" i="1"/>
  <c r="CJ152" i="1"/>
  <c r="CJ148" i="1"/>
  <c r="CJ144" i="1"/>
  <c r="CJ140" i="1"/>
  <c r="CJ136" i="1"/>
  <c r="CJ132" i="1"/>
  <c r="CJ128" i="1"/>
  <c r="CJ124" i="1"/>
  <c r="CJ120" i="1"/>
  <c r="CJ116" i="1"/>
  <c r="CJ112" i="1"/>
  <c r="CJ108" i="1"/>
  <c r="CJ104" i="1"/>
  <c r="CJ100" i="1"/>
  <c r="CJ96" i="1"/>
  <c r="CJ92" i="1"/>
  <c r="CJ88" i="1"/>
  <c r="CJ84" i="1"/>
  <c r="CJ80" i="1"/>
  <c r="CJ76" i="1"/>
  <c r="CJ72" i="1"/>
  <c r="CJ68" i="1"/>
  <c r="CJ64" i="1"/>
  <c r="CJ60" i="1"/>
  <c r="CJ56" i="1"/>
  <c r="CJ52" i="1"/>
  <c r="CJ48" i="1"/>
  <c r="CJ44" i="1"/>
  <c r="CJ40" i="1"/>
  <c r="CJ36" i="1"/>
  <c r="CJ32" i="1"/>
  <c r="CJ28" i="1"/>
  <c r="CJ24" i="1"/>
  <c r="CJ20" i="1"/>
  <c r="CJ16" i="1"/>
  <c r="CJ12" i="1"/>
  <c r="CJ8" i="1"/>
  <c r="CJ241" i="1"/>
  <c r="CJ49" i="1"/>
  <c r="CJ33" i="1"/>
  <c r="CJ29" i="1"/>
  <c r="CJ25" i="1"/>
  <c r="CJ21" i="1"/>
  <c r="CJ17" i="1"/>
  <c r="CJ13" i="1"/>
  <c r="CJ9" i="1"/>
  <c r="BR89" i="1"/>
  <c r="BR154" i="1"/>
  <c r="BR5" i="1"/>
  <c r="BT89" i="1"/>
  <c r="BT69" i="1"/>
  <c r="BT208" i="1"/>
  <c r="BT5" i="1"/>
  <c r="BT179" i="1"/>
  <c r="BT154" i="1"/>
  <c r="EI208" i="1"/>
  <c r="EK208" i="1" s="1"/>
  <c r="EI112" i="1"/>
  <c r="EK112" i="1" s="1"/>
  <c r="EC185" i="1" a="1"/>
  <c r="EC185" i="1" s="1"/>
  <c r="BU6" i="1"/>
  <c r="BU7" i="1"/>
  <c r="BU8" i="1"/>
  <c r="BU9" i="1"/>
  <c r="BU10" i="1"/>
  <c r="BU11" i="1"/>
  <c r="BU12" i="1"/>
  <c r="BU13" i="1"/>
  <c r="BU14" i="1"/>
  <c r="BU15" i="1"/>
  <c r="BU16" i="1"/>
  <c r="BU17" i="1"/>
  <c r="BU89"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120" i="1"/>
  <c r="BU67" i="1"/>
  <c r="BU68" i="1"/>
  <c r="BU154" i="1"/>
  <c r="BU70" i="1"/>
  <c r="BU71" i="1"/>
  <c r="BU72" i="1"/>
  <c r="BU73" i="1"/>
  <c r="BU74" i="1"/>
  <c r="BU75" i="1"/>
  <c r="BU76" i="1"/>
  <c r="BU77" i="1"/>
  <c r="BU78" i="1"/>
  <c r="BU79" i="1"/>
  <c r="BU80" i="1"/>
  <c r="BU81" i="1"/>
  <c r="BU82" i="1"/>
  <c r="BU83" i="1"/>
  <c r="BU84" i="1"/>
  <c r="BU85" i="1"/>
  <c r="BU86" i="1"/>
  <c r="BU87" i="1"/>
  <c r="BU113" i="1"/>
  <c r="BU185" i="1"/>
  <c r="BU90" i="1"/>
  <c r="BU91" i="1"/>
  <c r="BU92" i="1"/>
  <c r="BU93" i="1"/>
  <c r="BU94" i="1"/>
  <c r="BU95" i="1"/>
  <c r="BU96" i="1"/>
  <c r="BU97" i="1"/>
  <c r="BU98" i="1"/>
  <c r="BU99" i="1"/>
  <c r="BU100" i="1"/>
  <c r="BU101" i="1"/>
  <c r="BU102" i="1"/>
  <c r="BU103" i="1"/>
  <c r="BU104" i="1"/>
  <c r="BU105" i="1"/>
  <c r="BU106" i="1"/>
  <c r="BU107" i="1"/>
  <c r="BU108" i="1"/>
  <c r="BU109" i="1"/>
  <c r="BU110" i="1"/>
  <c r="BU111" i="1"/>
  <c r="BU112" i="1"/>
  <c r="BU152" i="1"/>
  <c r="BU114" i="1"/>
  <c r="BU115" i="1"/>
  <c r="BU116" i="1"/>
  <c r="BU117" i="1"/>
  <c r="BU118" i="1"/>
  <c r="BU66" i="1"/>
  <c r="BU121" i="1"/>
  <c r="BU122" i="1"/>
  <c r="BU123" i="1"/>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19" i="1"/>
  <c r="BU153" i="1"/>
  <c r="BU88"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80" i="1"/>
  <c r="BU181" i="1"/>
  <c r="BU182" i="1"/>
  <c r="BU183" i="1"/>
  <c r="BU184" i="1"/>
  <c r="BU18"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5" i="1"/>
  <c r="EI89" i="1"/>
  <c r="BG131" i="1" a="1"/>
  <c r="BG131" i="1" s="1"/>
  <c r="BI6" i="1" a="1"/>
  <c r="BI6" i="1" s="1"/>
  <c r="BI7" i="1" a="1"/>
  <c r="BI7" i="1" s="1"/>
  <c r="BI8" i="1" a="1"/>
  <c r="BI8" i="1" s="1"/>
  <c r="BI9" i="1" a="1"/>
  <c r="BI9" i="1" s="1"/>
  <c r="BI10" i="1" a="1"/>
  <c r="BI10" i="1" s="1"/>
  <c r="BI11" i="1" a="1"/>
  <c r="BI11" i="1" s="1"/>
  <c r="BI12" i="1" a="1"/>
  <c r="BI12" i="1" s="1"/>
  <c r="BI13" i="1" a="1"/>
  <c r="BI13" i="1" s="1"/>
  <c r="BI14" i="1" a="1"/>
  <c r="BI14" i="1" s="1"/>
  <c r="BI15" i="1" a="1"/>
  <c r="BI15" i="1" s="1"/>
  <c r="BI16" i="1" a="1"/>
  <c r="BI16" i="1" s="1"/>
  <c r="BI17" i="1" a="1"/>
  <c r="BI17" i="1" s="1"/>
  <c r="BI89" i="1" a="1"/>
  <c r="BI89" i="1" s="1"/>
  <c r="BI19" i="1" a="1"/>
  <c r="BI19" i="1" s="1"/>
  <c r="BI20" i="1" a="1"/>
  <c r="BI20" i="1" s="1"/>
  <c r="BI21" i="1" a="1"/>
  <c r="BI21" i="1" s="1"/>
  <c r="BI22" i="1" a="1"/>
  <c r="BI22" i="1" s="1"/>
  <c r="BI23" i="1" a="1"/>
  <c r="BI23" i="1" s="1"/>
  <c r="BI24" i="1" a="1"/>
  <c r="BI24" i="1" s="1"/>
  <c r="BI25" i="1" a="1"/>
  <c r="BI25" i="1" s="1"/>
  <c r="BI26" i="1" a="1"/>
  <c r="BI26" i="1" s="1"/>
  <c r="BI27" i="1" a="1"/>
  <c r="BI27" i="1" s="1"/>
  <c r="BI28" i="1" a="1"/>
  <c r="BI28" i="1" s="1"/>
  <c r="BI29" i="1" a="1"/>
  <c r="BI29" i="1" s="1"/>
  <c r="BI30" i="1" a="1"/>
  <c r="BI30" i="1" s="1"/>
  <c r="BI31" i="1" a="1"/>
  <c r="BI31" i="1" s="1"/>
  <c r="BI32" i="1" a="1"/>
  <c r="BI32" i="1" s="1"/>
  <c r="BI33" i="1" a="1"/>
  <c r="BI33" i="1" s="1"/>
  <c r="BI34" i="1" a="1"/>
  <c r="BI34" i="1" s="1"/>
  <c r="BI35" i="1" a="1"/>
  <c r="BI35" i="1" s="1"/>
  <c r="BI36" i="1" a="1"/>
  <c r="BI36" i="1" s="1"/>
  <c r="BI37" i="1" a="1"/>
  <c r="BI37" i="1" s="1"/>
  <c r="BI38" i="1" a="1"/>
  <c r="BI38" i="1" s="1"/>
  <c r="BI39" i="1" a="1"/>
  <c r="BI39" i="1" s="1"/>
  <c r="BI40" i="1" a="1"/>
  <c r="BI40" i="1" s="1"/>
  <c r="BI41" i="1" a="1"/>
  <c r="BI41" i="1" s="1"/>
  <c r="BI42" i="1" a="1"/>
  <c r="BI42" i="1" s="1"/>
  <c r="BI43" i="1" a="1"/>
  <c r="BI43" i="1" s="1"/>
  <c r="BI44" i="1" a="1"/>
  <c r="BI44" i="1" s="1"/>
  <c r="BI45" i="1" a="1"/>
  <c r="BI45" i="1" s="1"/>
  <c r="BI46" i="1" a="1"/>
  <c r="BI46" i="1" s="1"/>
  <c r="BI47" i="1" a="1"/>
  <c r="BI47" i="1" s="1"/>
  <c r="BI48" i="1" a="1"/>
  <c r="BI48" i="1" s="1"/>
  <c r="BI49" i="1" a="1"/>
  <c r="BI49" i="1" s="1"/>
  <c r="BI50" i="1" a="1"/>
  <c r="BI50" i="1" s="1"/>
  <c r="BI51" i="1" a="1"/>
  <c r="BI51" i="1" s="1"/>
  <c r="BI52" i="1" a="1"/>
  <c r="BI52" i="1" s="1"/>
  <c r="BI53" i="1" a="1"/>
  <c r="BI53" i="1" s="1"/>
  <c r="BI54" i="1" a="1"/>
  <c r="BI54" i="1" s="1"/>
  <c r="BI55" i="1" a="1"/>
  <c r="BI55" i="1" s="1"/>
  <c r="BI56" i="1" a="1"/>
  <c r="BI56" i="1" s="1"/>
  <c r="BI57" i="1" a="1"/>
  <c r="BI57" i="1" s="1"/>
  <c r="BI58" i="1" a="1"/>
  <c r="BI58" i="1" s="1"/>
  <c r="BI59" i="1" a="1"/>
  <c r="BI59" i="1" s="1"/>
  <c r="BI60" i="1" a="1"/>
  <c r="BI60" i="1" s="1"/>
  <c r="BI61" i="1" a="1"/>
  <c r="BI61" i="1" s="1"/>
  <c r="BI62" i="1" a="1"/>
  <c r="BI62" i="1" s="1"/>
  <c r="BI63" i="1" a="1"/>
  <c r="BI63" i="1" s="1"/>
  <c r="BI64" i="1" a="1"/>
  <c r="BI64" i="1" s="1"/>
  <c r="BI65" i="1" a="1"/>
  <c r="BI65" i="1" s="1"/>
  <c r="BI120" i="1" a="1"/>
  <c r="BI120" i="1" s="1"/>
  <c r="BI67" i="1" a="1"/>
  <c r="BI67" i="1" s="1"/>
  <c r="BI68" i="1" a="1"/>
  <c r="BI68" i="1" s="1"/>
  <c r="BI154" i="1" a="1"/>
  <c r="BI154" i="1" s="1"/>
  <c r="BI70" i="1" a="1"/>
  <c r="BI70" i="1" s="1"/>
  <c r="BI71" i="1" a="1"/>
  <c r="BI71" i="1" s="1"/>
  <c r="BI72" i="1" a="1"/>
  <c r="BI72" i="1" s="1"/>
  <c r="BI73" i="1" a="1"/>
  <c r="BI73" i="1" s="1"/>
  <c r="BI74" i="1" a="1"/>
  <c r="BI74" i="1" s="1"/>
  <c r="BI75" i="1" a="1"/>
  <c r="BI75" i="1" s="1"/>
  <c r="BI76" i="1" a="1"/>
  <c r="BI76" i="1" s="1"/>
  <c r="BI77" i="1" a="1"/>
  <c r="BI77" i="1" s="1"/>
  <c r="BI78" i="1" a="1"/>
  <c r="BI78" i="1" s="1"/>
  <c r="BI79" i="1" a="1"/>
  <c r="BI79" i="1" s="1"/>
  <c r="BI80" i="1" a="1"/>
  <c r="BI80" i="1" s="1"/>
  <c r="BI81" i="1" a="1"/>
  <c r="BI81" i="1" s="1"/>
  <c r="BI82" i="1" a="1"/>
  <c r="BI82" i="1" s="1"/>
  <c r="BI83" i="1" a="1"/>
  <c r="BI83" i="1" s="1"/>
  <c r="BI84" i="1" a="1"/>
  <c r="BI84" i="1" s="1"/>
  <c r="BI85" i="1" a="1"/>
  <c r="BI85" i="1" s="1"/>
  <c r="BI86" i="1" a="1"/>
  <c r="BI86" i="1" s="1"/>
  <c r="BI87" i="1" a="1"/>
  <c r="BI87" i="1" s="1"/>
  <c r="BI113" i="1" a="1"/>
  <c r="BI113" i="1" s="1"/>
  <c r="BI185" i="1" a="1"/>
  <c r="BI185" i="1" s="1"/>
  <c r="BI90" i="1" a="1"/>
  <c r="BI90" i="1" s="1"/>
  <c r="BI91" i="1" a="1"/>
  <c r="BI91" i="1" s="1"/>
  <c r="BI92" i="1" a="1"/>
  <c r="BI92" i="1" s="1"/>
  <c r="BI93" i="1" a="1"/>
  <c r="BI93" i="1" s="1"/>
  <c r="BI94" i="1" a="1"/>
  <c r="BI94" i="1" s="1"/>
  <c r="BI95" i="1" a="1"/>
  <c r="BI95" i="1" s="1"/>
  <c r="BI96" i="1" a="1"/>
  <c r="BI96" i="1" s="1"/>
  <c r="BI97" i="1" a="1"/>
  <c r="BI97" i="1" s="1"/>
  <c r="BI98" i="1" a="1"/>
  <c r="BI98" i="1" s="1"/>
  <c r="BI99" i="1" a="1"/>
  <c r="BI99" i="1" s="1"/>
  <c r="BI100" i="1" a="1"/>
  <c r="BI100" i="1" s="1"/>
  <c r="BI101" i="1" a="1"/>
  <c r="BI101" i="1" s="1"/>
  <c r="BI102" i="1" a="1"/>
  <c r="BI102" i="1" s="1"/>
  <c r="BI103" i="1" a="1"/>
  <c r="BI103" i="1" s="1"/>
  <c r="BI104" i="1" a="1"/>
  <c r="BI104" i="1" s="1"/>
  <c r="BI105" i="1" a="1"/>
  <c r="BI105" i="1" s="1"/>
  <c r="BI106" i="1" a="1"/>
  <c r="BI106" i="1" s="1"/>
  <c r="BI107" i="1" a="1"/>
  <c r="BI107" i="1" s="1"/>
  <c r="BI108" i="1" a="1"/>
  <c r="BI108" i="1" s="1"/>
  <c r="BI109" i="1" a="1"/>
  <c r="BI109" i="1" s="1"/>
  <c r="BI110" i="1" a="1"/>
  <c r="BI110" i="1" s="1"/>
  <c r="BI111" i="1" a="1"/>
  <c r="BI111" i="1" s="1"/>
  <c r="BI112" i="1" a="1"/>
  <c r="BI112" i="1" s="1"/>
  <c r="BI152" i="1" a="1"/>
  <c r="BI152" i="1" s="1"/>
  <c r="BI114" i="1" a="1"/>
  <c r="BI114" i="1" s="1"/>
  <c r="BI115" i="1" a="1"/>
  <c r="BI115" i="1" s="1"/>
  <c r="BI116" i="1" a="1"/>
  <c r="BI116" i="1" s="1"/>
  <c r="BI117" i="1" a="1"/>
  <c r="BI117" i="1" s="1"/>
  <c r="BI118" i="1" a="1"/>
  <c r="BI118" i="1" s="1"/>
  <c r="BI66" i="1" a="1"/>
  <c r="BI66" i="1" s="1"/>
  <c r="BI69" i="1" a="1"/>
  <c r="BI69" i="1" s="1"/>
  <c r="BI121" i="1" a="1"/>
  <c r="BI121" i="1" s="1"/>
  <c r="BI122" i="1" a="1"/>
  <c r="BI122" i="1" s="1"/>
  <c r="BI123" i="1" a="1"/>
  <c r="BI123" i="1" s="1"/>
  <c r="BI124" i="1" a="1"/>
  <c r="BI124" i="1" s="1"/>
  <c r="BI125" i="1" a="1"/>
  <c r="BI125" i="1" s="1"/>
  <c r="BI126" i="1" a="1"/>
  <c r="BI126" i="1" s="1"/>
  <c r="BI127" i="1" a="1"/>
  <c r="BI127" i="1" s="1"/>
  <c r="BI128" i="1" a="1"/>
  <c r="BI128" i="1" s="1"/>
  <c r="BI129" i="1" a="1"/>
  <c r="BI129" i="1" s="1"/>
  <c r="BI130" i="1" a="1"/>
  <c r="BI130" i="1" s="1"/>
  <c r="BI131" i="1" a="1"/>
  <c r="BI131" i="1" s="1"/>
  <c r="BI132" i="1" a="1"/>
  <c r="BI132" i="1" s="1"/>
  <c r="BI133" i="1" a="1"/>
  <c r="BI133" i="1" s="1"/>
  <c r="BI134" i="1" a="1"/>
  <c r="BI134" i="1" s="1"/>
  <c r="BI135" i="1" a="1"/>
  <c r="BI135" i="1" s="1"/>
  <c r="BI136" i="1" a="1"/>
  <c r="BI136" i="1" s="1"/>
  <c r="BI137" i="1" a="1"/>
  <c r="BI137" i="1" s="1"/>
  <c r="BI138" i="1" a="1"/>
  <c r="BI138" i="1" s="1"/>
  <c r="BI139" i="1" a="1"/>
  <c r="BI139" i="1" s="1"/>
  <c r="BI140" i="1" a="1"/>
  <c r="BI140" i="1" s="1"/>
  <c r="BI141" i="1" a="1"/>
  <c r="BI141" i="1" s="1"/>
  <c r="BI142" i="1" a="1"/>
  <c r="BI142" i="1" s="1"/>
  <c r="BI143" i="1" a="1"/>
  <c r="BI143" i="1" s="1"/>
  <c r="BI144" i="1" a="1"/>
  <c r="BI144" i="1" s="1"/>
  <c r="BI145" i="1" a="1"/>
  <c r="BI145" i="1" s="1"/>
  <c r="BI146" i="1" a="1"/>
  <c r="BI146" i="1" s="1"/>
  <c r="BI147" i="1" a="1"/>
  <c r="BI147" i="1" s="1"/>
  <c r="BI148" i="1" a="1"/>
  <c r="BI148" i="1" s="1"/>
  <c r="BI149" i="1" a="1"/>
  <c r="BI149" i="1" s="1"/>
  <c r="BI150" i="1" a="1"/>
  <c r="BI150" i="1" s="1"/>
  <c r="BI151" i="1" a="1"/>
  <c r="BI151" i="1" s="1"/>
  <c r="BI119" i="1" a="1"/>
  <c r="BI119" i="1" s="1"/>
  <c r="BI153" i="1" a="1"/>
  <c r="BI153" i="1" s="1"/>
  <c r="BI88" i="1" a="1"/>
  <c r="BI88" i="1" s="1"/>
  <c r="BI155" i="1" a="1"/>
  <c r="BI155" i="1" s="1"/>
  <c r="BI156" i="1" a="1"/>
  <c r="BI156" i="1" s="1"/>
  <c r="BI157" i="1" a="1"/>
  <c r="BI157" i="1" s="1"/>
  <c r="BI158" i="1" a="1"/>
  <c r="BI158" i="1" s="1"/>
  <c r="BI159" i="1" a="1"/>
  <c r="BI159" i="1" s="1"/>
  <c r="BI160" i="1" a="1"/>
  <c r="BI160" i="1" s="1"/>
  <c r="BI161" i="1" a="1"/>
  <c r="BI161" i="1" s="1"/>
  <c r="BI162" i="1" a="1"/>
  <c r="BI162" i="1" s="1"/>
  <c r="BI163" i="1" a="1"/>
  <c r="BI163" i="1" s="1"/>
  <c r="BI164" i="1" a="1"/>
  <c r="BI164" i="1" s="1"/>
  <c r="BI165" i="1" a="1"/>
  <c r="BI165" i="1" s="1"/>
  <c r="BI166" i="1" a="1"/>
  <c r="BI166" i="1" s="1"/>
  <c r="BI167" i="1" a="1"/>
  <c r="BI167" i="1" s="1"/>
  <c r="BI168" i="1" a="1"/>
  <c r="BI168" i="1" s="1"/>
  <c r="BI169" i="1" a="1"/>
  <c r="BI169" i="1" s="1"/>
  <c r="BI170" i="1" a="1"/>
  <c r="BI170" i="1" s="1"/>
  <c r="BI171" i="1" a="1"/>
  <c r="BI171" i="1" s="1"/>
  <c r="BI172" i="1" a="1"/>
  <c r="BI172" i="1" s="1"/>
  <c r="BI173" i="1" a="1"/>
  <c r="BI173" i="1" s="1"/>
  <c r="BI174" i="1" a="1"/>
  <c r="BI174" i="1" s="1"/>
  <c r="BI175" i="1" a="1"/>
  <c r="BI175" i="1" s="1"/>
  <c r="BI176" i="1" a="1"/>
  <c r="BI176" i="1" s="1"/>
  <c r="BI177" i="1" a="1"/>
  <c r="BI177" i="1" s="1"/>
  <c r="BI178" i="1" a="1"/>
  <c r="BI178" i="1" s="1"/>
  <c r="BI179" i="1" a="1"/>
  <c r="BI179" i="1" s="1"/>
  <c r="BI180" i="1" a="1"/>
  <c r="BI180" i="1" s="1"/>
  <c r="BI181" i="1" a="1"/>
  <c r="BI181" i="1" s="1"/>
  <c r="BI182" i="1" a="1"/>
  <c r="BI182" i="1" s="1"/>
  <c r="BI183" i="1" a="1"/>
  <c r="BI183" i="1" s="1"/>
  <c r="BI184" i="1" a="1"/>
  <c r="BI184" i="1" s="1"/>
  <c r="BI18" i="1" a="1"/>
  <c r="BI18" i="1" s="1"/>
  <c r="BI186" i="1" a="1"/>
  <c r="BI186" i="1" s="1"/>
  <c r="BI187" i="1" a="1"/>
  <c r="BI187" i="1" s="1"/>
  <c r="BI188" i="1" a="1"/>
  <c r="BI188" i="1" s="1"/>
  <c r="BI189" i="1" a="1"/>
  <c r="BI189" i="1" s="1"/>
  <c r="BI190" i="1" a="1"/>
  <c r="BI190" i="1" s="1"/>
  <c r="BI191" i="1" a="1"/>
  <c r="BI191" i="1" s="1"/>
  <c r="BI192" i="1" a="1"/>
  <c r="BI192" i="1" s="1"/>
  <c r="BI193" i="1" a="1"/>
  <c r="BI193" i="1" s="1"/>
  <c r="BI194" i="1" a="1"/>
  <c r="BI194" i="1" s="1"/>
  <c r="BI195" i="1" a="1"/>
  <c r="BI195" i="1" s="1"/>
  <c r="BI196" i="1" a="1"/>
  <c r="BI196" i="1" s="1"/>
  <c r="BI197" i="1" a="1"/>
  <c r="BI197" i="1" s="1"/>
  <c r="BI198" i="1" a="1"/>
  <c r="BI198" i="1" s="1"/>
  <c r="BI199" i="1" a="1"/>
  <c r="BI199" i="1" s="1"/>
  <c r="BI200" i="1" a="1"/>
  <c r="BI200" i="1" s="1"/>
  <c r="BI201" i="1" a="1"/>
  <c r="BI201" i="1" s="1"/>
  <c r="BI202" i="1" a="1"/>
  <c r="BI202" i="1" s="1"/>
  <c r="BI203" i="1" a="1"/>
  <c r="BI203" i="1" s="1"/>
  <c r="BI204" i="1" a="1"/>
  <c r="BI204" i="1" s="1"/>
  <c r="BI205" i="1" a="1"/>
  <c r="BI205" i="1" s="1"/>
  <c r="BI206" i="1" a="1"/>
  <c r="BI206" i="1" s="1"/>
  <c r="BI207" i="1" a="1"/>
  <c r="BI207" i="1" s="1"/>
  <c r="BI208" i="1" a="1"/>
  <c r="BI208" i="1" s="1"/>
  <c r="BI209" i="1" a="1"/>
  <c r="BI209" i="1" s="1"/>
  <c r="BI210" i="1" a="1"/>
  <c r="BI210" i="1" s="1"/>
  <c r="BI211" i="1" a="1"/>
  <c r="BI211" i="1" s="1"/>
  <c r="BI212" i="1" a="1"/>
  <c r="BI212" i="1" s="1"/>
  <c r="BI213" i="1" a="1"/>
  <c r="BI213" i="1" s="1"/>
  <c r="BI214" i="1" a="1"/>
  <c r="BI214" i="1" s="1"/>
  <c r="BI215" i="1" a="1"/>
  <c r="BI215" i="1" s="1"/>
  <c r="BI216" i="1" a="1"/>
  <c r="BI216" i="1" s="1"/>
  <c r="BI217" i="1" a="1"/>
  <c r="BI217" i="1" s="1"/>
  <c r="BI218" i="1" a="1"/>
  <c r="BI218" i="1" s="1"/>
  <c r="BI219" i="1" a="1"/>
  <c r="BI219" i="1" s="1"/>
  <c r="BI220" i="1" a="1"/>
  <c r="BI220" i="1" s="1"/>
  <c r="BI221" i="1" a="1"/>
  <c r="BI221" i="1" s="1"/>
  <c r="BI222" i="1" a="1"/>
  <c r="BI222" i="1" s="1"/>
  <c r="BI223" i="1" a="1"/>
  <c r="BI223" i="1" s="1"/>
  <c r="BI224" i="1" a="1"/>
  <c r="BI224" i="1" s="1"/>
  <c r="BI225" i="1" a="1"/>
  <c r="BI225" i="1" s="1"/>
  <c r="BI226" i="1" a="1"/>
  <c r="BI226" i="1" s="1"/>
  <c r="BI227" i="1" a="1"/>
  <c r="BI227" i="1" s="1"/>
  <c r="BI228" i="1" a="1"/>
  <c r="BI228" i="1" s="1"/>
  <c r="BI229" i="1" a="1"/>
  <c r="BI229" i="1" s="1"/>
  <c r="BI230" i="1" a="1"/>
  <c r="BI230" i="1" s="1"/>
  <c r="BI231" i="1" a="1"/>
  <c r="BI231" i="1" s="1"/>
  <c r="BI232" i="1" a="1"/>
  <c r="BI232" i="1" s="1"/>
  <c r="BI233" i="1" a="1"/>
  <c r="BI233" i="1" s="1"/>
  <c r="BI234" i="1" a="1"/>
  <c r="BI234" i="1" s="1"/>
  <c r="BI235" i="1" a="1"/>
  <c r="BI235" i="1" s="1"/>
  <c r="BI236" i="1" a="1"/>
  <c r="BI236" i="1" s="1"/>
  <c r="BI237" i="1" a="1"/>
  <c r="BI237" i="1" s="1"/>
  <c r="BI238" i="1" a="1"/>
  <c r="BI238" i="1" s="1"/>
  <c r="BI239" i="1" a="1"/>
  <c r="BI239" i="1" s="1"/>
  <c r="BI240" i="1" a="1"/>
  <c r="BI240" i="1" s="1"/>
  <c r="BI241" i="1" a="1"/>
  <c r="BI241" i="1" s="1"/>
  <c r="BI242" i="1" a="1"/>
  <c r="BI242" i="1" s="1"/>
  <c r="BI243" i="1" a="1"/>
  <c r="BI243" i="1" s="1"/>
  <c r="BI244" i="1" a="1"/>
  <c r="BI244" i="1" s="1"/>
  <c r="BI245" i="1" a="1"/>
  <c r="BI245" i="1" s="1"/>
  <c r="BI246" i="1" a="1"/>
  <c r="BI246" i="1" s="1"/>
  <c r="BI247" i="1" a="1"/>
  <c r="BI247" i="1" s="1"/>
  <c r="BI248" i="1" a="1"/>
  <c r="BI248" i="1" s="1"/>
  <c r="BI249" i="1" a="1"/>
  <c r="BI249" i="1" s="1"/>
  <c r="BI250" i="1" a="1"/>
  <c r="BI250" i="1" s="1"/>
  <c r="BI251" i="1" a="1"/>
  <c r="BI251" i="1" s="1"/>
  <c r="BI252" i="1" a="1"/>
  <c r="BI252" i="1" s="1"/>
  <c r="BI253" i="1" a="1"/>
  <c r="BI253" i="1" s="1"/>
  <c r="BI254" i="1" a="1"/>
  <c r="BI254" i="1" s="1"/>
  <c r="BI255" i="1" a="1"/>
  <c r="BI255" i="1" s="1"/>
  <c r="BI256" i="1" a="1"/>
  <c r="BI256" i="1" s="1"/>
  <c r="BI257" i="1" a="1"/>
  <c r="BI257" i="1" s="1"/>
  <c r="BI258" i="1" a="1"/>
  <c r="BI258" i="1" s="1"/>
  <c r="BI259" i="1" a="1"/>
  <c r="BI259" i="1" s="1"/>
  <c r="BI260" i="1" a="1"/>
  <c r="BI260" i="1" s="1"/>
  <c r="BI261" i="1" a="1"/>
  <c r="BI261" i="1" s="1"/>
  <c r="BI262" i="1" a="1"/>
  <c r="BI262" i="1" s="1"/>
  <c r="BI263" i="1" a="1"/>
  <c r="BI263" i="1" s="1"/>
  <c r="BI264" i="1" a="1"/>
  <c r="BI264" i="1" s="1"/>
  <c r="BI265" i="1" a="1"/>
  <c r="BI265" i="1" s="1"/>
  <c r="BI266" i="1" a="1"/>
  <c r="BI266" i="1" s="1"/>
  <c r="BI267" i="1" a="1"/>
  <c r="BI267" i="1" s="1"/>
  <c r="BI268" i="1" a="1"/>
  <c r="BI268" i="1" s="1"/>
  <c r="BI269" i="1" a="1"/>
  <c r="BI269" i="1" s="1"/>
  <c r="BI270" i="1" a="1"/>
  <c r="BI270" i="1" s="1"/>
  <c r="BI5" i="1" a="1"/>
  <c r="BI5" i="1" s="1"/>
  <c r="BG237" i="1" a="1"/>
  <c r="BG237" i="1" s="1"/>
  <c r="BG7" i="1" a="1"/>
  <c r="BG7" i="1" s="1"/>
  <c r="BG244" i="1" a="1"/>
  <c r="BG244" i="1" s="1"/>
  <c r="BG120" i="1" a="1"/>
  <c r="BG120" i="1" s="1"/>
  <c r="BG13" i="1" a="1"/>
  <c r="BG13" i="1" s="1"/>
  <c r="EI5" i="1"/>
  <c r="EK5" i="1" s="1"/>
  <c r="BG6" i="1" a="1"/>
  <c r="BG6" i="1" s="1"/>
  <c r="BG21" i="1" a="1"/>
  <c r="BG21" i="1" s="1"/>
  <c r="BJ5" i="1" a="1"/>
  <c r="BJ5" i="1" s="1"/>
  <c r="BJ6" i="1" a="1"/>
  <c r="BJ6" i="1" s="1"/>
  <c r="BJ7" i="1" a="1"/>
  <c r="BJ7" i="1" s="1"/>
  <c r="BJ8" i="1" a="1"/>
  <c r="BJ8" i="1" s="1"/>
  <c r="BJ9" i="1" a="1"/>
  <c r="BJ9" i="1" s="1"/>
  <c r="BJ10" i="1" a="1"/>
  <c r="BJ10" i="1" s="1"/>
  <c r="BJ11" i="1" a="1"/>
  <c r="BJ11" i="1" s="1"/>
  <c r="BJ12" i="1" a="1"/>
  <c r="BJ12" i="1" s="1"/>
  <c r="BJ185" i="1" a="1"/>
  <c r="BJ185" i="1" s="1"/>
  <c r="BJ14" i="1" a="1"/>
  <c r="BJ14" i="1" s="1"/>
  <c r="BJ15" i="1" a="1"/>
  <c r="BJ15" i="1" s="1"/>
  <c r="BJ16" i="1" a="1"/>
  <c r="BJ16" i="1" s="1"/>
  <c r="BJ17" i="1" a="1"/>
  <c r="BJ17" i="1" s="1"/>
  <c r="BJ89" i="1" a="1"/>
  <c r="BJ89" i="1" s="1"/>
  <c r="BJ19" i="1" a="1"/>
  <c r="BJ19" i="1" s="1"/>
  <c r="BJ20" i="1" a="1"/>
  <c r="BJ20" i="1" s="1"/>
  <c r="BJ21" i="1" a="1"/>
  <c r="BJ21" i="1" s="1"/>
  <c r="BJ22" i="1" a="1"/>
  <c r="BJ22" i="1" s="1"/>
  <c r="BJ23" i="1" a="1"/>
  <c r="BJ23" i="1" s="1"/>
  <c r="BJ24" i="1" a="1"/>
  <c r="BJ24" i="1" s="1"/>
  <c r="BJ25" i="1" a="1"/>
  <c r="BJ25" i="1" s="1"/>
  <c r="BJ26" i="1" a="1"/>
  <c r="BJ26" i="1" s="1"/>
  <c r="BJ27" i="1" a="1"/>
  <c r="BJ27" i="1" s="1"/>
  <c r="BJ28" i="1" a="1"/>
  <c r="BJ28" i="1" s="1"/>
  <c r="BJ29" i="1" a="1"/>
  <c r="BJ29" i="1" s="1"/>
  <c r="BJ30" i="1" a="1"/>
  <c r="BJ30" i="1" s="1"/>
  <c r="BJ31" i="1" a="1"/>
  <c r="BJ31" i="1" s="1"/>
  <c r="BJ32" i="1" a="1"/>
  <c r="BJ32" i="1" s="1"/>
  <c r="BJ33" i="1" a="1"/>
  <c r="BJ33" i="1" s="1"/>
  <c r="BJ208" i="1" a="1"/>
  <c r="BJ208" i="1" s="1"/>
  <c r="BJ35" i="1" a="1"/>
  <c r="BJ35" i="1" s="1"/>
  <c r="BJ36" i="1" a="1"/>
  <c r="BJ36" i="1" s="1"/>
  <c r="BJ37" i="1" a="1"/>
  <c r="BJ37" i="1" s="1"/>
  <c r="BJ38" i="1" a="1"/>
  <c r="BJ38" i="1" s="1"/>
  <c r="BJ39" i="1" a="1"/>
  <c r="BJ39" i="1" s="1"/>
  <c r="BJ40" i="1" a="1"/>
  <c r="BJ40" i="1" s="1"/>
  <c r="BJ41" i="1" a="1"/>
  <c r="BJ41" i="1" s="1"/>
  <c r="BJ42" i="1" a="1"/>
  <c r="BJ42" i="1" s="1"/>
  <c r="BJ43" i="1" a="1"/>
  <c r="BJ43" i="1" s="1"/>
  <c r="BJ44" i="1" a="1"/>
  <c r="BJ44" i="1" s="1"/>
  <c r="BJ45" i="1" a="1"/>
  <c r="BJ45" i="1" s="1"/>
  <c r="BJ46" i="1" a="1"/>
  <c r="BJ46" i="1" s="1"/>
  <c r="BJ47" i="1" a="1"/>
  <c r="BJ47" i="1" s="1"/>
  <c r="BJ48" i="1" a="1"/>
  <c r="BJ48" i="1" s="1"/>
  <c r="BJ49" i="1" a="1"/>
  <c r="BJ49" i="1" s="1"/>
  <c r="BJ50" i="1" a="1"/>
  <c r="BJ50" i="1" s="1"/>
  <c r="BJ51" i="1" a="1"/>
  <c r="BJ51" i="1" s="1"/>
  <c r="BJ52" i="1" a="1"/>
  <c r="BJ52" i="1" s="1"/>
  <c r="BJ53" i="1" a="1"/>
  <c r="BJ53" i="1" s="1"/>
  <c r="BJ54" i="1" a="1"/>
  <c r="BJ54" i="1" s="1"/>
  <c r="BJ55" i="1" a="1"/>
  <c r="BJ55" i="1" s="1"/>
  <c r="BJ56" i="1" a="1"/>
  <c r="BJ56" i="1" s="1"/>
  <c r="BJ57" i="1" a="1"/>
  <c r="BJ57" i="1" s="1"/>
  <c r="BJ58" i="1" a="1"/>
  <c r="BJ58" i="1" s="1"/>
  <c r="BJ59" i="1" a="1"/>
  <c r="BJ59" i="1" s="1"/>
  <c r="BJ60" i="1" a="1"/>
  <c r="BJ60" i="1" s="1"/>
  <c r="BJ61" i="1" a="1"/>
  <c r="BJ61" i="1" s="1"/>
  <c r="BJ62" i="1" a="1"/>
  <c r="BJ62" i="1" s="1"/>
  <c r="BJ63" i="1" a="1"/>
  <c r="BJ63" i="1" s="1"/>
  <c r="BJ126" i="1" a="1"/>
  <c r="BJ126" i="1" s="1"/>
  <c r="BJ65" i="1" a="1"/>
  <c r="BJ65" i="1" s="1"/>
  <c r="BJ120" i="1" a="1"/>
  <c r="BJ120" i="1" s="1"/>
  <c r="BJ67" i="1" a="1"/>
  <c r="BJ67" i="1" s="1"/>
  <c r="BJ68" i="1" a="1"/>
  <c r="BJ68" i="1" s="1"/>
  <c r="BJ183" i="1" a="1"/>
  <c r="BJ183" i="1" s="1"/>
  <c r="BJ70" i="1" a="1"/>
  <c r="BJ70" i="1" s="1"/>
  <c r="BJ71" i="1" a="1"/>
  <c r="BJ71" i="1" s="1"/>
  <c r="BJ72" i="1" a="1"/>
  <c r="BJ72" i="1" s="1"/>
  <c r="BJ73" i="1" a="1"/>
  <c r="BJ73" i="1" s="1"/>
  <c r="BJ74" i="1" a="1"/>
  <c r="BJ74" i="1" s="1"/>
  <c r="BJ75" i="1" a="1"/>
  <c r="BJ75" i="1" s="1"/>
  <c r="BJ76" i="1" a="1"/>
  <c r="BJ76" i="1" s="1"/>
  <c r="BJ77" i="1" a="1"/>
  <c r="BJ77" i="1" s="1"/>
  <c r="BJ78" i="1" a="1"/>
  <c r="BJ78" i="1" s="1"/>
  <c r="BJ79" i="1" a="1"/>
  <c r="BJ79" i="1" s="1"/>
  <c r="BJ80" i="1" a="1"/>
  <c r="BJ80" i="1" s="1"/>
  <c r="BJ81" i="1" a="1"/>
  <c r="BJ81" i="1" s="1"/>
  <c r="BJ82" i="1" a="1"/>
  <c r="BJ82" i="1" s="1"/>
  <c r="BJ83" i="1" a="1"/>
  <c r="BJ83" i="1" s="1"/>
  <c r="BJ84" i="1" a="1"/>
  <c r="BJ84" i="1" s="1"/>
  <c r="BJ85" i="1" a="1"/>
  <c r="BJ85" i="1" s="1"/>
  <c r="BJ86" i="1" a="1"/>
  <c r="BJ86" i="1" s="1"/>
  <c r="BJ87" i="1" a="1"/>
  <c r="BJ87" i="1" s="1"/>
  <c r="BJ123" i="1" a="1"/>
  <c r="BJ123" i="1" s="1"/>
  <c r="BJ162" i="1" a="1"/>
  <c r="BJ162" i="1" s="1"/>
  <c r="BJ90" i="1" a="1"/>
  <c r="BJ90" i="1" s="1"/>
  <c r="BJ179" i="1" a="1"/>
  <c r="BJ179" i="1" s="1"/>
  <c r="BJ92" i="1" a="1"/>
  <c r="BJ92" i="1" s="1"/>
  <c r="BJ93" i="1" a="1"/>
  <c r="BJ93" i="1" s="1"/>
  <c r="BJ94" i="1" a="1"/>
  <c r="BJ94" i="1" s="1"/>
  <c r="BJ95" i="1" a="1"/>
  <c r="BJ95" i="1" s="1"/>
  <c r="BJ96" i="1" a="1"/>
  <c r="BJ96" i="1" s="1"/>
  <c r="BJ97" i="1" a="1"/>
  <c r="BJ97" i="1" s="1"/>
  <c r="BJ98" i="1" a="1"/>
  <c r="BJ98" i="1" s="1"/>
  <c r="BJ99" i="1" a="1"/>
  <c r="BJ99" i="1" s="1"/>
  <c r="BJ100" i="1" a="1"/>
  <c r="BJ100" i="1" s="1"/>
  <c r="BJ101" i="1" a="1"/>
  <c r="BJ101" i="1" s="1"/>
  <c r="BJ102" i="1" a="1"/>
  <c r="BJ102" i="1" s="1"/>
  <c r="BJ103" i="1" a="1"/>
  <c r="BJ103" i="1" s="1"/>
  <c r="BJ104" i="1" a="1"/>
  <c r="BJ104" i="1" s="1"/>
  <c r="BJ105" i="1" a="1"/>
  <c r="BJ105" i="1" s="1"/>
  <c r="BJ106" i="1" a="1"/>
  <c r="BJ106" i="1" s="1"/>
  <c r="BJ107" i="1" a="1"/>
  <c r="BJ107" i="1" s="1"/>
  <c r="BJ108" i="1" a="1"/>
  <c r="BJ108" i="1" s="1"/>
  <c r="BJ109" i="1" a="1"/>
  <c r="BJ109" i="1" s="1"/>
  <c r="BJ110" i="1" a="1"/>
  <c r="BJ110" i="1" s="1"/>
  <c r="BJ111" i="1" a="1"/>
  <c r="BJ111" i="1" s="1"/>
  <c r="BJ112" i="1" a="1"/>
  <c r="BJ112" i="1" s="1"/>
  <c r="BJ88" i="1" a="1"/>
  <c r="BJ88" i="1" s="1"/>
  <c r="BJ114" i="1" a="1"/>
  <c r="BJ114" i="1" s="1"/>
  <c r="BJ115" i="1" a="1"/>
  <c r="BJ115" i="1" s="1"/>
  <c r="BJ116" i="1" a="1"/>
  <c r="BJ116" i="1" s="1"/>
  <c r="BJ117" i="1" a="1"/>
  <c r="BJ117" i="1" s="1"/>
  <c r="BJ118" i="1" a="1"/>
  <c r="BJ118" i="1" s="1"/>
  <c r="BJ66" i="1" a="1"/>
  <c r="BJ66" i="1" s="1"/>
  <c r="BJ69" i="1" a="1"/>
  <c r="BJ69" i="1" s="1"/>
  <c r="BJ121" i="1" a="1"/>
  <c r="BJ121" i="1" s="1"/>
  <c r="BJ122" i="1" a="1"/>
  <c r="BJ122" i="1" s="1"/>
  <c r="BJ152" i="1" a="1"/>
  <c r="BJ152" i="1" s="1"/>
  <c r="BJ124" i="1" a="1"/>
  <c r="BJ124" i="1" s="1"/>
  <c r="BJ125" i="1" a="1"/>
  <c r="BJ125" i="1" s="1"/>
  <c r="BJ13" i="1" a="1"/>
  <c r="BJ13" i="1" s="1"/>
  <c r="BJ127" i="1" a="1"/>
  <c r="BJ127" i="1" s="1"/>
  <c r="BJ128" i="1" a="1"/>
  <c r="BJ128" i="1" s="1"/>
  <c r="BJ129" i="1" a="1"/>
  <c r="BJ129" i="1" s="1"/>
  <c r="BJ130" i="1" a="1"/>
  <c r="BJ130" i="1" s="1"/>
  <c r="BJ131" i="1" a="1"/>
  <c r="BJ131" i="1" s="1"/>
  <c r="BJ132" i="1" a="1"/>
  <c r="BJ132" i="1" s="1"/>
  <c r="BJ133" i="1" a="1"/>
  <c r="BJ133" i="1" s="1"/>
  <c r="BJ134" i="1" a="1"/>
  <c r="BJ134" i="1" s="1"/>
  <c r="BJ135" i="1" a="1"/>
  <c r="BJ135" i="1" s="1"/>
  <c r="BJ136" i="1" a="1"/>
  <c r="BJ136" i="1" s="1"/>
  <c r="BJ137" i="1" a="1"/>
  <c r="BJ137" i="1" s="1"/>
  <c r="BJ138" i="1" a="1"/>
  <c r="BJ138" i="1" s="1"/>
  <c r="BJ139" i="1" a="1"/>
  <c r="BJ139" i="1" s="1"/>
  <c r="BJ140" i="1" a="1"/>
  <c r="BJ140" i="1" s="1"/>
  <c r="BJ141" i="1" a="1"/>
  <c r="BJ141" i="1" s="1"/>
  <c r="BJ142" i="1" a="1"/>
  <c r="BJ142" i="1" s="1"/>
  <c r="BJ143" i="1" a="1"/>
  <c r="BJ143" i="1" s="1"/>
  <c r="BJ144" i="1" a="1"/>
  <c r="BJ144" i="1" s="1"/>
  <c r="BJ145" i="1" a="1"/>
  <c r="BJ145" i="1" s="1"/>
  <c r="BJ146" i="1" a="1"/>
  <c r="BJ146" i="1" s="1"/>
  <c r="BJ147" i="1" a="1"/>
  <c r="BJ147" i="1" s="1"/>
  <c r="BJ148" i="1" a="1"/>
  <c r="BJ148" i="1" s="1"/>
  <c r="BJ149" i="1" a="1"/>
  <c r="BJ149" i="1" s="1"/>
  <c r="BJ150" i="1" a="1"/>
  <c r="BJ150" i="1" s="1"/>
  <c r="BJ151" i="1" a="1"/>
  <c r="BJ151" i="1" s="1"/>
  <c r="BJ119" i="1" a="1"/>
  <c r="BJ119" i="1" s="1"/>
  <c r="BJ153" i="1" a="1"/>
  <c r="BJ153" i="1" s="1"/>
  <c r="BJ91" i="1" a="1"/>
  <c r="BJ91" i="1" s="1"/>
  <c r="BJ155" i="1" a="1"/>
  <c r="BJ155" i="1" s="1"/>
  <c r="BJ156" i="1" a="1"/>
  <c r="BJ156" i="1" s="1"/>
  <c r="BJ157" i="1" a="1"/>
  <c r="BJ157" i="1" s="1"/>
  <c r="BJ158" i="1" a="1"/>
  <c r="BJ158" i="1" s="1"/>
  <c r="BJ159" i="1" a="1"/>
  <c r="BJ159" i="1" s="1"/>
  <c r="BJ160" i="1" a="1"/>
  <c r="BJ160" i="1" s="1"/>
  <c r="BJ161" i="1" a="1"/>
  <c r="BJ161" i="1" s="1"/>
  <c r="BJ64" i="1" a="1"/>
  <c r="BJ64" i="1" s="1"/>
  <c r="BJ163" i="1" a="1"/>
  <c r="BJ163" i="1" s="1"/>
  <c r="BJ164" i="1" a="1"/>
  <c r="BJ164" i="1" s="1"/>
  <c r="BJ165" i="1" a="1"/>
  <c r="BJ165" i="1" s="1"/>
  <c r="BJ166" i="1" a="1"/>
  <c r="BJ166" i="1" s="1"/>
  <c r="BJ167" i="1" a="1"/>
  <c r="BJ167" i="1" s="1"/>
  <c r="BJ168" i="1" a="1"/>
  <c r="BJ168" i="1" s="1"/>
  <c r="BJ169" i="1" a="1"/>
  <c r="BJ169" i="1" s="1"/>
  <c r="BJ170" i="1" a="1"/>
  <c r="BJ170" i="1" s="1"/>
  <c r="BJ171" i="1" a="1"/>
  <c r="BJ171" i="1" s="1"/>
  <c r="BJ172" i="1" a="1"/>
  <c r="BJ172" i="1" s="1"/>
  <c r="BJ173" i="1" a="1"/>
  <c r="BJ173" i="1" s="1"/>
  <c r="BJ174" i="1" a="1"/>
  <c r="BJ174" i="1" s="1"/>
  <c r="BJ175" i="1" a="1"/>
  <c r="BJ175" i="1" s="1"/>
  <c r="BJ176" i="1" a="1"/>
  <c r="BJ176" i="1" s="1"/>
  <c r="BJ177" i="1" a="1"/>
  <c r="BJ177" i="1" s="1"/>
  <c r="BJ178" i="1" a="1"/>
  <c r="BJ178" i="1" s="1"/>
  <c r="BJ154" i="1" a="1"/>
  <c r="BJ154" i="1" s="1"/>
  <c r="BJ180" i="1" a="1"/>
  <c r="BJ180" i="1" s="1"/>
  <c r="BJ181" i="1" a="1"/>
  <c r="BJ181" i="1" s="1"/>
  <c r="BJ182" i="1" a="1"/>
  <c r="BJ182" i="1" s="1"/>
  <c r="BJ190" i="1" a="1"/>
  <c r="BJ190" i="1" s="1"/>
  <c r="BJ184" i="1" a="1"/>
  <c r="BJ184" i="1" s="1"/>
  <c r="BJ18" i="1" a="1"/>
  <c r="BJ18" i="1" s="1"/>
  <c r="BJ186" i="1" a="1"/>
  <c r="BJ186" i="1" s="1"/>
  <c r="BJ187" i="1" a="1"/>
  <c r="BJ187" i="1" s="1"/>
  <c r="BJ188" i="1" a="1"/>
  <c r="BJ188" i="1" s="1"/>
  <c r="BJ189" i="1" a="1"/>
  <c r="BJ189" i="1" s="1"/>
  <c r="BJ34" i="1" a="1"/>
  <c r="BJ34" i="1" s="1"/>
  <c r="BJ191" i="1" a="1"/>
  <c r="BJ191" i="1" s="1"/>
  <c r="BJ192" i="1" a="1"/>
  <c r="BJ192" i="1" s="1"/>
  <c r="BJ193" i="1" a="1"/>
  <c r="BJ193" i="1" s="1"/>
  <c r="BJ194" i="1" a="1"/>
  <c r="BJ194" i="1" s="1"/>
  <c r="BJ195" i="1" a="1"/>
  <c r="BJ195" i="1" s="1"/>
  <c r="BJ196" i="1" a="1"/>
  <c r="BJ196" i="1" s="1"/>
  <c r="BJ197" i="1" a="1"/>
  <c r="BJ197" i="1" s="1"/>
  <c r="BJ198" i="1" a="1"/>
  <c r="BJ198" i="1" s="1"/>
  <c r="BJ199" i="1" a="1"/>
  <c r="BJ199" i="1" s="1"/>
  <c r="BJ200" i="1" a="1"/>
  <c r="BJ200" i="1" s="1"/>
  <c r="BJ254" i="1" a="1"/>
  <c r="BJ254" i="1" s="1"/>
  <c r="BJ202" i="1" a="1"/>
  <c r="BJ202" i="1" s="1"/>
  <c r="BJ203" i="1" a="1"/>
  <c r="BJ203" i="1" s="1"/>
  <c r="BJ204" i="1" a="1"/>
  <c r="BJ204" i="1" s="1"/>
  <c r="BJ205" i="1" a="1"/>
  <c r="BJ205" i="1" s="1"/>
  <c r="BJ206" i="1" a="1"/>
  <c r="BJ206" i="1" s="1"/>
  <c r="BJ207" i="1" a="1"/>
  <c r="BJ207" i="1" s="1"/>
  <c r="BJ113" i="1" a="1"/>
  <c r="BJ113" i="1" s="1"/>
  <c r="BJ209" i="1" a="1"/>
  <c r="BJ209" i="1" s="1"/>
  <c r="BJ210" i="1" a="1"/>
  <c r="BJ210" i="1" s="1"/>
  <c r="BJ211" i="1" a="1"/>
  <c r="BJ211" i="1" s="1"/>
  <c r="BJ212" i="1" a="1"/>
  <c r="BJ212" i="1" s="1"/>
  <c r="BJ213" i="1" a="1"/>
  <c r="BJ213" i="1" s="1"/>
  <c r="BJ214" i="1" a="1"/>
  <c r="BJ214" i="1" s="1"/>
  <c r="BJ215" i="1" a="1"/>
  <c r="BJ215" i="1" s="1"/>
  <c r="BJ216" i="1" a="1"/>
  <c r="BJ216" i="1" s="1"/>
  <c r="BJ217" i="1" a="1"/>
  <c r="BJ217" i="1" s="1"/>
  <c r="BJ218" i="1" a="1"/>
  <c r="BJ218" i="1" s="1"/>
  <c r="BJ219" i="1" a="1"/>
  <c r="BJ219" i="1" s="1"/>
  <c r="BJ220" i="1" a="1"/>
  <c r="BJ220" i="1" s="1"/>
  <c r="BJ221" i="1" a="1"/>
  <c r="BJ221" i="1" s="1"/>
  <c r="BJ222" i="1" a="1"/>
  <c r="BJ222" i="1" s="1"/>
  <c r="BJ223" i="1" a="1"/>
  <c r="BJ223" i="1" s="1"/>
  <c r="BJ224" i="1" a="1"/>
  <c r="BJ224" i="1" s="1"/>
  <c r="BJ225" i="1" a="1"/>
  <c r="BJ225" i="1" s="1"/>
  <c r="BJ226" i="1" a="1"/>
  <c r="BJ226" i="1" s="1"/>
  <c r="BJ227" i="1" a="1"/>
  <c r="BJ227" i="1" s="1"/>
  <c r="BJ228" i="1" a="1"/>
  <c r="BJ228" i="1" s="1"/>
  <c r="BJ229" i="1" a="1"/>
  <c r="BJ229" i="1" s="1"/>
  <c r="BJ230" i="1" a="1"/>
  <c r="BJ230" i="1" s="1"/>
  <c r="BJ231" i="1" a="1"/>
  <c r="BJ231" i="1" s="1"/>
  <c r="BJ232" i="1" a="1"/>
  <c r="BJ232" i="1" s="1"/>
  <c r="BJ233" i="1" a="1"/>
  <c r="BJ233" i="1" s="1"/>
  <c r="BJ234" i="1" a="1"/>
  <c r="BJ234" i="1" s="1"/>
  <c r="BJ235" i="1" a="1"/>
  <c r="BJ235" i="1" s="1"/>
  <c r="BJ236" i="1" a="1"/>
  <c r="BJ236" i="1" s="1"/>
  <c r="BJ237" i="1" a="1"/>
  <c r="BJ237" i="1" s="1"/>
  <c r="BJ238" i="1" a="1"/>
  <c r="BJ238" i="1" s="1"/>
  <c r="BJ239" i="1" a="1"/>
  <c r="BJ239" i="1" s="1"/>
  <c r="BJ240" i="1" a="1"/>
  <c r="BJ240" i="1" s="1"/>
  <c r="BJ241" i="1" a="1"/>
  <c r="BJ241" i="1" s="1"/>
  <c r="BJ242" i="1" a="1"/>
  <c r="BJ242" i="1" s="1"/>
  <c r="BJ243" i="1" a="1"/>
  <c r="BJ243" i="1" s="1"/>
  <c r="BJ244" i="1" a="1"/>
  <c r="BJ244" i="1" s="1"/>
  <c r="BJ245" i="1" a="1"/>
  <c r="BJ245" i="1" s="1"/>
  <c r="BJ246" i="1" a="1"/>
  <c r="BJ246" i="1" s="1"/>
  <c r="BJ247" i="1" a="1"/>
  <c r="BJ247" i="1" s="1"/>
  <c r="BJ248" i="1" a="1"/>
  <c r="BJ248" i="1" s="1"/>
  <c r="BJ249" i="1" a="1"/>
  <c r="BJ249" i="1" s="1"/>
  <c r="BJ250" i="1" a="1"/>
  <c r="BJ250" i="1" s="1"/>
  <c r="BJ251" i="1" a="1"/>
  <c r="BJ251" i="1" s="1"/>
  <c r="BJ252" i="1" a="1"/>
  <c r="BJ252" i="1" s="1"/>
  <c r="BJ253" i="1" a="1"/>
  <c r="BJ253" i="1" s="1"/>
  <c r="BJ201" i="1" a="1"/>
  <c r="BJ201" i="1" s="1"/>
  <c r="BJ255" i="1" a="1"/>
  <c r="BJ255" i="1" s="1"/>
  <c r="BJ256" i="1" a="1"/>
  <c r="BJ256" i="1" s="1"/>
  <c r="BJ257" i="1" a="1"/>
  <c r="BJ257" i="1" s="1"/>
  <c r="BJ258" i="1" a="1"/>
  <c r="BJ258" i="1" s="1"/>
  <c r="BJ259" i="1" a="1"/>
  <c r="BJ259" i="1" s="1"/>
  <c r="BJ260" i="1" a="1"/>
  <c r="BJ260" i="1" s="1"/>
  <c r="BJ261" i="1" a="1"/>
  <c r="BJ261" i="1" s="1"/>
  <c r="BJ262" i="1" a="1"/>
  <c r="BJ262" i="1" s="1"/>
  <c r="BJ263" i="1" a="1"/>
  <c r="BJ263" i="1" s="1"/>
  <c r="BJ264" i="1" a="1"/>
  <c r="BJ264" i="1" s="1"/>
  <c r="BJ265" i="1" a="1"/>
  <c r="BJ265" i="1" s="1"/>
  <c r="BJ266" i="1" a="1"/>
  <c r="BJ266" i="1" s="1"/>
  <c r="BJ267" i="1" a="1"/>
  <c r="BJ267" i="1" s="1"/>
  <c r="BJ268" i="1" a="1"/>
  <c r="BJ268" i="1" s="1"/>
  <c r="BJ269" i="1" a="1"/>
  <c r="BJ269" i="1" s="1"/>
  <c r="BJ270" i="1" a="1"/>
  <c r="BJ270" i="1" s="1"/>
  <c r="BG64" i="1" a="1"/>
  <c r="BG64" i="1" s="1"/>
  <c r="BG235" i="1" a="1"/>
  <c r="BG235"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O5" i="1" a="1"/>
  <c r="BO5" i="1" s="1"/>
  <c r="BO6" i="1" a="1"/>
  <c r="BO6" i="1" s="1"/>
  <c r="BO7" i="1" a="1"/>
  <c r="BO7" i="1" s="1"/>
  <c r="BO8" i="1" a="1"/>
  <c r="BO8" i="1" s="1"/>
  <c r="BO9" i="1" a="1"/>
  <c r="BO9" i="1" s="1"/>
  <c r="BO10" i="1" a="1"/>
  <c r="BO10" i="1" s="1"/>
  <c r="BO11" i="1" a="1"/>
  <c r="BO11" i="1" s="1"/>
  <c r="BO12" i="1" a="1"/>
  <c r="BO12" i="1" s="1"/>
  <c r="BO185" i="1" a="1"/>
  <c r="BO185" i="1" s="1"/>
  <c r="BO14" i="1" a="1"/>
  <c r="BO14" i="1" s="1"/>
  <c r="BO15" i="1" a="1"/>
  <c r="BO15" i="1" s="1"/>
  <c r="BO16" i="1" a="1"/>
  <c r="BO16" i="1" s="1"/>
  <c r="BO17" i="1" a="1"/>
  <c r="BO17" i="1" s="1"/>
  <c r="BO89" i="1" a="1"/>
  <c r="BO89" i="1" s="1"/>
  <c r="BO19" i="1" a="1"/>
  <c r="BO19"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208" i="1" a="1"/>
  <c r="BO208" i="1" s="1"/>
  <c r="BO35" i="1" a="1"/>
  <c r="BO35"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126" i="1" a="1"/>
  <c r="BO126" i="1" s="1"/>
  <c r="BO65" i="1" a="1"/>
  <c r="BO65" i="1" s="1"/>
  <c r="BO120" i="1" a="1"/>
  <c r="BO120" i="1" s="1"/>
  <c r="BO67" i="1" a="1"/>
  <c r="BO67" i="1" s="1"/>
  <c r="BO68" i="1" a="1"/>
  <c r="BO68" i="1" s="1"/>
  <c r="BO183" i="1" a="1"/>
  <c r="BO183" i="1" s="1"/>
  <c r="BO70" i="1" a="1"/>
  <c r="BO70" i="1" s="1"/>
  <c r="BO71" i="1" a="1"/>
  <c r="BO71" i="1" s="1"/>
  <c r="BO72" i="1" a="1"/>
  <c r="BO72" i="1"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123" i="1" a="1"/>
  <c r="BO123" i="1" s="1"/>
  <c r="BO162" i="1" a="1"/>
  <c r="BO162" i="1" s="1"/>
  <c r="BO90" i="1" a="1"/>
  <c r="BO90" i="1" s="1"/>
  <c r="BO179" i="1" a="1"/>
  <c r="BO179" i="1" s="1"/>
  <c r="BO92" i="1" a="1"/>
  <c r="BO92"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88" i="1" a="1"/>
  <c r="BO88" i="1" s="1"/>
  <c r="BO114" i="1" a="1"/>
  <c r="BO114" i="1" s="1"/>
  <c r="BO115" i="1" a="1"/>
  <c r="BO115" i="1" s="1"/>
  <c r="BO116" i="1" a="1"/>
  <c r="BO116" i="1" s="1"/>
  <c r="BO117" i="1" a="1"/>
  <c r="BO117" i="1" s="1"/>
  <c r="BO118" i="1" a="1"/>
  <c r="BO118" i="1" s="1"/>
  <c r="BO66" i="1" a="1"/>
  <c r="BO66" i="1" s="1"/>
  <c r="BO69" i="1" a="1"/>
  <c r="BO69" i="1" s="1"/>
  <c r="BO121" i="1" a="1"/>
  <c r="BO121" i="1" s="1"/>
  <c r="BO122" i="1" a="1"/>
  <c r="BO122" i="1" s="1"/>
  <c r="BO152" i="1" a="1"/>
  <c r="BO152" i="1" s="1"/>
  <c r="BO124" i="1" a="1"/>
  <c r="BO124" i="1" s="1"/>
  <c r="BO125" i="1" a="1"/>
  <c r="BO125" i="1" s="1"/>
  <c r="BO13" i="1" a="1"/>
  <c r="BO13" i="1" s="1"/>
  <c r="BO127" i="1" a="1"/>
  <c r="BO127"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19" i="1" a="1"/>
  <c r="BO119" i="1" s="1"/>
  <c r="BO153" i="1" a="1"/>
  <c r="BO153" i="1" s="1"/>
  <c r="BO91" i="1" a="1"/>
  <c r="BO91" i="1" s="1"/>
  <c r="BO155" i="1" a="1"/>
  <c r="BO155" i="1" s="1"/>
  <c r="BO156" i="1" a="1"/>
  <c r="BO156" i="1" s="1"/>
  <c r="BO157" i="1" a="1"/>
  <c r="BO157" i="1" s="1"/>
  <c r="BO158" i="1" a="1"/>
  <c r="BO158" i="1" s="1"/>
  <c r="BO159" i="1" a="1"/>
  <c r="BO159" i="1" s="1"/>
  <c r="BO160" i="1" a="1"/>
  <c r="BO160" i="1" s="1"/>
  <c r="BO161" i="1" a="1"/>
  <c r="BO161" i="1" s="1"/>
  <c r="BO64" i="1" a="1"/>
  <c r="BO64" i="1" s="1"/>
  <c r="BO163" i="1" a="1"/>
  <c r="BO163"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54" i="1" a="1"/>
  <c r="BO154" i="1" s="1"/>
  <c r="BO180" i="1" a="1"/>
  <c r="BO180" i="1" s="1"/>
  <c r="BO181" i="1" a="1"/>
  <c r="BO181" i="1" s="1"/>
  <c r="BO182" i="1" a="1"/>
  <c r="BO182" i="1" s="1"/>
  <c r="BO190" i="1" a="1"/>
  <c r="BO190" i="1" s="1"/>
  <c r="BO184" i="1" a="1"/>
  <c r="BO184" i="1" s="1"/>
  <c r="BO18" i="1" a="1"/>
  <c r="BO18" i="1" s="1"/>
  <c r="BO186" i="1" a="1"/>
  <c r="BO186" i="1" s="1"/>
  <c r="BO187" i="1" a="1"/>
  <c r="BO187" i="1" s="1"/>
  <c r="BO188" i="1" a="1"/>
  <c r="BO188" i="1" s="1"/>
  <c r="BO189" i="1" a="1"/>
  <c r="BO189" i="1" s="1"/>
  <c r="BO34" i="1" a="1"/>
  <c r="BO34" i="1" s="1"/>
  <c r="BO191" i="1" a="1"/>
  <c r="BO191"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54" i="1" a="1"/>
  <c r="BO254" i="1" s="1"/>
  <c r="BO202" i="1" a="1"/>
  <c r="BO202" i="1" s="1"/>
  <c r="BO203" i="1" a="1"/>
  <c r="BO203" i="1" s="1"/>
  <c r="BO204" i="1" a="1"/>
  <c r="BO204" i="1" s="1"/>
  <c r="BO205" i="1" a="1"/>
  <c r="BO205" i="1" s="1"/>
  <c r="BO206" i="1" a="1"/>
  <c r="BO206" i="1" s="1"/>
  <c r="BO207" i="1" a="1"/>
  <c r="BO207" i="1" s="1"/>
  <c r="BO113" i="1" a="1"/>
  <c r="BO113" i="1" s="1"/>
  <c r="BO209" i="1" a="1"/>
  <c r="BO209"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01" i="1" a="1"/>
  <c r="BO201" i="1" s="1"/>
  <c r="BO255" i="1" a="1"/>
  <c r="BO255"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P5" i="1" a="1"/>
  <c r="BP5" i="1" s="1"/>
  <c r="BP6" i="1" a="1"/>
  <c r="BP6" i="1" s="1"/>
  <c r="BP7" i="1" a="1"/>
  <c r="BP7" i="1" s="1"/>
  <c r="BP8" i="1" a="1"/>
  <c r="BP8" i="1" s="1"/>
  <c r="BP9" i="1" a="1"/>
  <c r="BP9" i="1" s="1"/>
  <c r="BP10" i="1" a="1"/>
  <c r="BP10" i="1" s="1"/>
  <c r="BP11" i="1" a="1"/>
  <c r="BP11" i="1" s="1"/>
  <c r="BP12" i="1" a="1"/>
  <c r="BP12" i="1" s="1"/>
  <c r="BP185" i="1" a="1"/>
  <c r="BP185" i="1" s="1"/>
  <c r="BP14" i="1" a="1"/>
  <c r="BP14" i="1" s="1"/>
  <c r="BP15" i="1" a="1"/>
  <c r="BP15" i="1" s="1"/>
  <c r="BP16" i="1" a="1"/>
  <c r="BP16" i="1" s="1"/>
  <c r="BP17" i="1" a="1"/>
  <c r="BP17" i="1" s="1"/>
  <c r="BP89" i="1" a="1"/>
  <c r="BP89" i="1" s="1"/>
  <c r="BP19" i="1" a="1"/>
  <c r="BP19"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208" i="1" a="1"/>
  <c r="BP208"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126" i="1" a="1"/>
  <c r="BP126" i="1" s="1"/>
  <c r="BP65" i="1" a="1"/>
  <c r="BP65" i="1" s="1"/>
  <c r="BP120" i="1" a="1"/>
  <c r="BP120" i="1" s="1"/>
  <c r="BP67" i="1" a="1"/>
  <c r="BP67" i="1" s="1"/>
  <c r="BP68" i="1" a="1"/>
  <c r="BP68" i="1" s="1"/>
  <c r="BP183" i="1" a="1"/>
  <c r="BP183" i="1" s="1"/>
  <c r="BP70" i="1" a="1"/>
  <c r="BP70"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123" i="1" a="1"/>
  <c r="BP123" i="1" s="1"/>
  <c r="BP162" i="1" a="1"/>
  <c r="BP162" i="1" s="1"/>
  <c r="BP90" i="1" a="1"/>
  <c r="BP90" i="1" s="1"/>
  <c r="BP179" i="1" a="1"/>
  <c r="BP179"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88" i="1" a="1"/>
  <c r="BP88" i="1" s="1"/>
  <c r="BP114" i="1" a="1"/>
  <c r="BP114" i="1" s="1"/>
  <c r="BP115" i="1" a="1"/>
  <c r="BP115" i="1" s="1"/>
  <c r="BP116" i="1" a="1"/>
  <c r="BP116" i="1" s="1"/>
  <c r="BP117" i="1" a="1"/>
  <c r="BP117" i="1" s="1"/>
  <c r="BP118" i="1" a="1"/>
  <c r="BP118" i="1" s="1"/>
  <c r="BP66" i="1" a="1"/>
  <c r="BP66" i="1" s="1"/>
  <c r="BP69" i="1" a="1"/>
  <c r="BP69" i="1" s="1"/>
  <c r="BP121" i="1" a="1"/>
  <c r="BP121" i="1" s="1"/>
  <c r="BP122" i="1" a="1"/>
  <c r="BP122" i="1" s="1"/>
  <c r="BP152" i="1" a="1"/>
  <c r="BP152" i="1" s="1"/>
  <c r="BP124" i="1" a="1"/>
  <c r="BP124" i="1" s="1"/>
  <c r="BP125" i="1" a="1"/>
  <c r="BP125" i="1" s="1"/>
  <c r="BP13" i="1" a="1"/>
  <c r="BP13"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19" i="1" a="1"/>
  <c r="BP119" i="1" s="1"/>
  <c r="BP153" i="1" a="1"/>
  <c r="BP153" i="1" s="1"/>
  <c r="BP91" i="1" a="1"/>
  <c r="BP91" i="1" s="1"/>
  <c r="BP155" i="1" a="1"/>
  <c r="BP155" i="1" s="1"/>
  <c r="BP156" i="1" a="1"/>
  <c r="BP156" i="1" s="1"/>
  <c r="BP157" i="1" a="1"/>
  <c r="BP157" i="1" s="1"/>
  <c r="BP158" i="1" a="1"/>
  <c r="BP158" i="1" s="1"/>
  <c r="BP159" i="1" a="1"/>
  <c r="BP159" i="1" s="1"/>
  <c r="BP160" i="1" a="1"/>
  <c r="BP160" i="1" s="1"/>
  <c r="BP161" i="1" a="1"/>
  <c r="BP161" i="1" s="1"/>
  <c r="BP64" i="1" a="1"/>
  <c r="BP64"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54" i="1" a="1"/>
  <c r="BP154" i="1" s="1"/>
  <c r="BP180" i="1" a="1"/>
  <c r="BP180" i="1" s="1"/>
  <c r="BP181" i="1" a="1"/>
  <c r="BP181" i="1" s="1"/>
  <c r="BP182" i="1" a="1"/>
  <c r="BP182" i="1" s="1"/>
  <c r="BP190" i="1" a="1"/>
  <c r="BP190" i="1" s="1"/>
  <c r="BP184" i="1" a="1"/>
  <c r="BP184" i="1" s="1"/>
  <c r="BP18" i="1" a="1"/>
  <c r="BP18" i="1" s="1"/>
  <c r="BP186" i="1" a="1"/>
  <c r="BP186" i="1" s="1"/>
  <c r="BP187" i="1" a="1"/>
  <c r="BP187" i="1" s="1"/>
  <c r="BP188" i="1" a="1"/>
  <c r="BP188" i="1" s="1"/>
  <c r="BP189" i="1" a="1"/>
  <c r="BP189" i="1" s="1"/>
  <c r="BP34" i="1" a="1"/>
  <c r="BP34"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54" i="1" a="1"/>
  <c r="BP254" i="1" s="1"/>
  <c r="BP202" i="1" a="1"/>
  <c r="BP202" i="1" s="1"/>
  <c r="BP203" i="1" a="1"/>
  <c r="BP203" i="1" s="1"/>
  <c r="BP204" i="1" a="1"/>
  <c r="BP204" i="1" s="1"/>
  <c r="BP205" i="1" a="1"/>
  <c r="BP205" i="1" s="1"/>
  <c r="BP206" i="1" a="1"/>
  <c r="BP206" i="1" s="1"/>
  <c r="BP207" i="1" a="1"/>
  <c r="BP207" i="1" s="1"/>
  <c r="BP113" i="1" a="1"/>
  <c r="BP113"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01" i="1" a="1"/>
  <c r="BP201"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G8" i="1" a="1"/>
  <c r="BG8" i="1" s="1"/>
  <c r="BG9" i="1" a="1"/>
  <c r="BG9" i="1" s="1"/>
  <c r="BG10" i="1" a="1"/>
  <c r="BG10" i="1" s="1"/>
  <c r="BG11" i="1" a="1"/>
  <c r="BG11" i="1" s="1"/>
  <c r="BG12" i="1" a="1"/>
  <c r="BG12" i="1" s="1"/>
  <c r="BG14" i="1" a="1"/>
  <c r="BG14" i="1" s="1"/>
  <c r="BG15" i="1" a="1"/>
  <c r="BG15" i="1" s="1"/>
  <c r="BG16" i="1" a="1"/>
  <c r="BG16" i="1" s="1"/>
  <c r="BG17" i="1" a="1"/>
  <c r="BG17" i="1" s="1"/>
  <c r="BG19" i="1" a="1"/>
  <c r="BG19" i="1" s="1"/>
  <c r="BG20" i="1" a="1"/>
  <c r="BG20" i="1" s="1"/>
  <c r="BG54" i="1" a="1"/>
  <c r="BG54" i="1" s="1"/>
  <c r="DW270" i="1" l="1"/>
  <c r="DW266" i="1"/>
  <c r="DW262" i="1"/>
  <c r="DW258" i="1"/>
  <c r="DW254" i="1"/>
  <c r="DW250" i="1"/>
  <c r="DW246" i="1"/>
  <c r="DW242" i="1"/>
  <c r="DW238" i="1"/>
  <c r="DW234" i="1"/>
  <c r="DW230" i="1"/>
  <c r="DW226" i="1"/>
  <c r="DW222" i="1"/>
  <c r="DW218" i="1"/>
  <c r="DW214" i="1"/>
  <c r="DW210" i="1"/>
  <c r="DW206" i="1"/>
  <c r="DW202" i="1"/>
  <c r="DW198" i="1"/>
  <c r="DW194" i="1"/>
  <c r="DW190" i="1"/>
  <c r="DW186" i="1"/>
  <c r="DW182" i="1"/>
  <c r="DW178" i="1"/>
  <c r="DW174" i="1"/>
  <c r="DW170" i="1"/>
  <c r="DW166" i="1"/>
  <c r="DW162" i="1"/>
  <c r="DW158" i="1"/>
  <c r="DW88" i="1"/>
  <c r="DW150" i="1"/>
  <c r="DW146" i="1"/>
  <c r="DW142" i="1"/>
  <c r="DW138" i="1"/>
  <c r="DW134" i="1"/>
  <c r="DW130" i="1"/>
  <c r="DW126" i="1"/>
  <c r="DW122" i="1"/>
  <c r="DW118" i="1"/>
  <c r="DW114" i="1"/>
  <c r="DW110" i="1"/>
  <c r="DW106" i="1"/>
  <c r="DW102" i="1"/>
  <c r="DW98" i="1"/>
  <c r="DW94" i="1"/>
  <c r="DW90" i="1"/>
  <c r="DW86" i="1"/>
  <c r="DW82" i="1"/>
  <c r="DW78" i="1"/>
  <c r="DW74" i="1"/>
  <c r="DW70" i="1"/>
  <c r="DW120" i="1"/>
  <c r="DW62" i="1"/>
  <c r="DW58" i="1"/>
  <c r="DW54" i="1"/>
  <c r="DW50" i="1"/>
  <c r="DW46" i="1"/>
  <c r="DW42" i="1"/>
  <c r="DW38" i="1"/>
  <c r="DW34" i="1"/>
  <c r="DW30" i="1"/>
  <c r="DW26" i="1"/>
  <c r="DW22" i="1"/>
  <c r="DW89" i="1"/>
  <c r="DW14" i="1"/>
  <c r="DW10" i="1"/>
  <c r="DW6" i="1"/>
  <c r="DW269" i="1"/>
  <c r="DW265" i="1"/>
  <c r="DW261" i="1"/>
  <c r="DW257" i="1"/>
  <c r="DW253" i="1"/>
  <c r="DW249" i="1"/>
  <c r="DW245" i="1"/>
  <c r="DW241" i="1"/>
  <c r="DW237" i="1"/>
  <c r="DW233" i="1"/>
  <c r="DW229" i="1"/>
  <c r="DW225" i="1"/>
  <c r="DW221" i="1"/>
  <c r="DW217" i="1"/>
  <c r="DW213" i="1"/>
  <c r="DW209" i="1"/>
  <c r="DW205" i="1"/>
  <c r="DW201" i="1"/>
  <c r="DW197" i="1"/>
  <c r="DW193" i="1"/>
  <c r="DW189" i="1"/>
  <c r="DW18" i="1"/>
  <c r="DW181" i="1"/>
  <c r="DW177" i="1"/>
  <c r="DW173" i="1"/>
  <c r="DW169" i="1"/>
  <c r="DW165" i="1"/>
  <c r="DW161" i="1"/>
  <c r="DW157" i="1"/>
  <c r="DW153" i="1"/>
  <c r="DW149" i="1"/>
  <c r="DW145" i="1"/>
  <c r="DW141" i="1"/>
  <c r="DW137" i="1"/>
  <c r="DW133" i="1"/>
  <c r="DW129" i="1"/>
  <c r="DW125" i="1"/>
  <c r="DW121" i="1"/>
  <c r="DW117" i="1"/>
  <c r="DW152" i="1"/>
  <c r="DW109" i="1"/>
  <c r="DW105" i="1"/>
  <c r="DW101" i="1"/>
  <c r="DW97" i="1"/>
  <c r="DW93" i="1"/>
  <c r="DW85" i="1"/>
  <c r="DW81" i="1"/>
  <c r="DW77" i="1"/>
  <c r="DW73" i="1"/>
  <c r="DW154" i="1"/>
  <c r="DW65" i="1"/>
  <c r="DW61" i="1"/>
  <c r="DW57" i="1"/>
  <c r="DW53" i="1"/>
  <c r="DW49" i="1"/>
  <c r="DW45" i="1"/>
  <c r="DW41" i="1"/>
  <c r="DW37" i="1"/>
  <c r="DW33" i="1"/>
  <c r="DW29" i="1"/>
  <c r="DW25" i="1"/>
  <c r="DW21" i="1"/>
  <c r="DW17" i="1"/>
  <c r="DW13" i="1"/>
  <c r="DW9" i="1"/>
  <c r="DW268" i="1"/>
  <c r="DW264" i="1"/>
  <c r="DW260" i="1"/>
  <c r="DW256" i="1"/>
  <c r="DW252" i="1"/>
  <c r="DW248" i="1"/>
  <c r="DW244" i="1"/>
  <c r="DW240" i="1"/>
  <c r="DW236" i="1"/>
  <c r="DW232" i="1"/>
  <c r="DW228" i="1"/>
  <c r="DW224" i="1"/>
  <c r="DW220" i="1"/>
  <c r="DW216" i="1"/>
  <c r="DW212" i="1"/>
  <c r="DW208" i="1"/>
  <c r="DW204" i="1"/>
  <c r="DW200" i="1"/>
  <c r="DW196" i="1"/>
  <c r="DW192" i="1"/>
  <c r="DW188" i="1"/>
  <c r="DW184" i="1"/>
  <c r="DW180" i="1"/>
  <c r="DW176" i="1"/>
  <c r="DW172" i="1"/>
  <c r="DW168" i="1"/>
  <c r="DW164" i="1"/>
  <c r="DW160" i="1"/>
  <c r="DW156" i="1"/>
  <c r="DW119" i="1"/>
  <c r="DW148" i="1"/>
  <c r="DW144" i="1"/>
  <c r="DW140" i="1"/>
  <c r="DW136" i="1"/>
  <c r="DW132" i="1"/>
  <c r="DW128" i="1"/>
  <c r="DW124" i="1"/>
  <c r="DW69" i="1"/>
  <c r="DW116" i="1"/>
  <c r="DW112" i="1"/>
  <c r="DW108" i="1"/>
  <c r="DW104" i="1"/>
  <c r="DW100" i="1"/>
  <c r="DW96" i="1"/>
  <c r="DW92" i="1"/>
  <c r="DW113" i="1"/>
  <c r="DW84" i="1"/>
  <c r="DW80" i="1"/>
  <c r="DW76" i="1"/>
  <c r="DW72" i="1"/>
  <c r="DW68" i="1"/>
  <c r="DW64" i="1"/>
  <c r="DW60" i="1"/>
  <c r="DW56" i="1"/>
  <c r="DW52" i="1"/>
  <c r="DW48" i="1"/>
  <c r="DW44" i="1"/>
  <c r="DW40" i="1"/>
  <c r="DW36" i="1"/>
  <c r="DW32" i="1"/>
  <c r="DW28" i="1"/>
  <c r="DW24" i="1"/>
  <c r="DW20" i="1"/>
  <c r="DW16" i="1"/>
  <c r="DW12" i="1"/>
  <c r="DW8" i="1"/>
  <c r="DW5" i="1"/>
  <c r="DW267" i="1"/>
  <c r="DW263" i="1"/>
  <c r="DW259" i="1"/>
  <c r="DW255" i="1"/>
  <c r="DW251" i="1"/>
  <c r="DW247" i="1"/>
  <c r="DW243" i="1"/>
  <c r="DW239" i="1"/>
  <c r="DW235" i="1"/>
  <c r="DW231" i="1"/>
  <c r="DW227" i="1"/>
  <c r="DW223" i="1"/>
  <c r="DW219" i="1"/>
  <c r="DW215" i="1"/>
  <c r="DW211" i="1"/>
  <c r="DW207" i="1"/>
  <c r="DW203" i="1"/>
  <c r="DW199" i="1"/>
  <c r="DW195" i="1"/>
  <c r="DW191" i="1"/>
  <c r="DW187" i="1"/>
  <c r="DW183" i="1"/>
  <c r="DW179" i="1"/>
  <c r="DW175" i="1"/>
  <c r="DW171" i="1"/>
  <c r="DW167" i="1"/>
  <c r="DW163" i="1"/>
  <c r="DW159" i="1"/>
  <c r="DW155" i="1"/>
  <c r="DW151" i="1"/>
  <c r="DW147" i="1"/>
  <c r="DW143" i="1"/>
  <c r="DW139" i="1"/>
  <c r="DW135" i="1"/>
  <c r="DW131" i="1"/>
  <c r="DW127" i="1"/>
  <c r="DW123" i="1"/>
  <c r="DW66" i="1"/>
  <c r="DW115" i="1"/>
  <c r="DW111" i="1"/>
  <c r="DW107" i="1"/>
  <c r="DW103" i="1"/>
  <c r="DW99" i="1"/>
  <c r="DW95" i="1"/>
  <c r="DW91" i="1"/>
  <c r="DW87" i="1"/>
  <c r="DW83" i="1"/>
  <c r="DW79" i="1"/>
  <c r="DW75" i="1"/>
  <c r="DW71" i="1"/>
  <c r="DW67" i="1"/>
  <c r="DW63" i="1"/>
  <c r="DW59" i="1"/>
  <c r="DW55" i="1"/>
  <c r="DW51" i="1"/>
  <c r="DW47" i="1"/>
  <c r="DW43" i="1"/>
  <c r="DW39" i="1"/>
  <c r="DW35" i="1"/>
  <c r="DW31" i="1"/>
  <c r="DW27" i="1"/>
  <c r="DW23" i="1"/>
  <c r="DW19" i="1"/>
  <c r="DW15" i="1"/>
  <c r="DW11" i="1"/>
  <c r="DW7" i="1"/>
  <c r="DW185" i="1"/>
  <c r="DP2" i="1"/>
  <c r="DV269" i="1" s="1"/>
  <c r="BT14" i="1"/>
  <c r="BT21" i="1"/>
  <c r="BT7" i="1"/>
  <c r="BT131" i="1"/>
  <c r="BT19" i="1"/>
  <c r="BT17" i="1"/>
  <c r="BT9" i="1"/>
  <c r="BT12" i="1"/>
  <c r="BT64" i="1"/>
  <c r="BT6" i="1"/>
  <c r="BT13" i="1"/>
  <c r="BT10" i="1"/>
  <c r="BT235" i="1"/>
  <c r="BT54" i="1"/>
  <c r="BT16" i="1"/>
  <c r="BT8" i="1"/>
  <c r="BT20" i="1"/>
  <c r="BT15" i="1"/>
  <c r="BT11" i="1"/>
  <c r="BT244" i="1"/>
  <c r="BT237" i="1"/>
  <c r="BT120" i="1"/>
  <c r="BT185" i="1"/>
  <c r="BR120" i="1"/>
  <c r="BR185" i="1"/>
  <c r="EI12" i="1"/>
  <c r="EK12" i="1" s="1"/>
  <c r="BR12" i="1"/>
  <c r="EI6" i="1"/>
  <c r="EK6" i="1" s="1"/>
  <c r="BR6" i="1"/>
  <c r="EI54" i="1"/>
  <c r="EK54" i="1" s="1"/>
  <c r="BR54" i="1"/>
  <c r="EI20" i="1"/>
  <c r="EK20" i="1" s="1"/>
  <c r="BR20" i="1"/>
  <c r="EI15" i="1"/>
  <c r="EK15" i="1" s="1"/>
  <c r="BR15" i="1"/>
  <c r="EI11" i="1"/>
  <c r="EK11" i="1" s="1"/>
  <c r="BR11" i="1"/>
  <c r="EI244" i="1"/>
  <c r="EK244" i="1" s="1"/>
  <c r="BR244" i="1"/>
  <c r="EI16" i="1"/>
  <c r="EK16" i="1" s="1"/>
  <c r="BR16" i="1"/>
  <c r="EI19" i="1"/>
  <c r="EK19" i="1" s="1"/>
  <c r="BR19" i="1"/>
  <c r="EI13" i="1"/>
  <c r="EK13" i="1" s="1"/>
  <c r="BR13" i="1"/>
  <c r="EI7" i="1"/>
  <c r="EK7" i="1" s="1"/>
  <c r="BR7" i="1"/>
  <c r="EI131" i="1"/>
  <c r="EK131" i="1" s="1"/>
  <c r="BR131" i="1"/>
  <c r="EI8" i="1"/>
  <c r="EK8" i="1" s="1"/>
  <c r="BR8" i="1"/>
  <c r="EI64" i="1"/>
  <c r="EK64" i="1" s="1"/>
  <c r="BR64" i="1"/>
  <c r="EI14" i="1"/>
  <c r="EK14" i="1" s="1"/>
  <c r="BR14" i="1"/>
  <c r="EI10" i="1"/>
  <c r="EK10" i="1" s="1"/>
  <c r="BR10" i="1"/>
  <c r="EI17" i="1"/>
  <c r="EK17" i="1" s="1"/>
  <c r="BR17" i="1"/>
  <c r="EI9" i="1"/>
  <c r="EK9" i="1" s="1"/>
  <c r="BR9" i="1"/>
  <c r="EI235" i="1"/>
  <c r="EK235" i="1" s="1"/>
  <c r="BR235" i="1"/>
  <c r="EI21" i="1"/>
  <c r="EK21" i="1" s="1"/>
  <c r="BR21" i="1"/>
  <c r="EI237" i="1"/>
  <c r="EK237" i="1" s="1"/>
  <c r="BR237" i="1"/>
  <c r="EI120" i="1"/>
  <c r="EK120" i="1" s="1"/>
  <c r="EI185" i="1"/>
  <c r="EK185" i="1" s="1"/>
  <c r="EK89" i="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EC72" i="1" a="1"/>
  <c r="EC72" i="1" s="1"/>
  <c r="EC73" i="1" a="1"/>
  <c r="EC73" i="1" s="1"/>
  <c r="EC74" i="1" a="1"/>
  <c r="EC74" i="1" s="1"/>
  <c r="EC75" i="1" a="1"/>
  <c r="EC75" i="1" s="1"/>
  <c r="EC76" i="1" a="1"/>
  <c r="EC76" i="1" s="1"/>
  <c r="EC77" i="1" a="1"/>
  <c r="EC77" i="1" s="1"/>
  <c r="EC78" i="1" a="1"/>
  <c r="EC78" i="1" s="1"/>
  <c r="EC79" i="1" a="1"/>
  <c r="EC79" i="1" s="1"/>
  <c r="EC80" i="1" a="1"/>
  <c r="EC80" i="1" s="1"/>
  <c r="EC81" i="1" a="1"/>
  <c r="EC81" i="1" s="1"/>
  <c r="EC82" i="1" a="1"/>
  <c r="EC82" i="1" s="1"/>
  <c r="EC83" i="1" a="1"/>
  <c r="EC83" i="1" s="1"/>
  <c r="EC84" i="1" a="1"/>
  <c r="EC84" i="1" s="1"/>
  <c r="EC85" i="1" a="1"/>
  <c r="EC85" i="1" s="1"/>
  <c r="EC86" i="1" a="1"/>
  <c r="EC86" i="1" s="1"/>
  <c r="EC87" i="1" a="1"/>
  <c r="EC87" i="1" s="1"/>
  <c r="EC123" i="1" a="1"/>
  <c r="EC123" i="1" s="1"/>
  <c r="EC162" i="1" a="1"/>
  <c r="EC162" i="1" s="1"/>
  <c r="EC90" i="1" a="1"/>
  <c r="EC90" i="1" s="1"/>
  <c r="EC179" i="1" a="1"/>
  <c r="EC179" i="1" s="1"/>
  <c r="EC92" i="1" a="1"/>
  <c r="EC92" i="1" s="1"/>
  <c r="EC93" i="1" a="1"/>
  <c r="EC93" i="1" s="1"/>
  <c r="EC94" i="1" a="1"/>
  <c r="EC94" i="1" s="1"/>
  <c r="EC95" i="1" a="1"/>
  <c r="EC95" i="1" s="1"/>
  <c r="EC96" i="1" a="1"/>
  <c r="EC96" i="1" s="1"/>
  <c r="EC97" i="1" a="1"/>
  <c r="EC97" i="1" s="1"/>
  <c r="EC98" i="1" a="1"/>
  <c r="EC98" i="1" s="1"/>
  <c r="EC99" i="1" a="1"/>
  <c r="EC99" i="1" s="1"/>
  <c r="EC100" i="1" a="1"/>
  <c r="EC100" i="1" s="1"/>
  <c r="EC101" i="1" a="1"/>
  <c r="EC101" i="1" s="1"/>
  <c r="EC102" i="1" a="1"/>
  <c r="EC102" i="1" s="1"/>
  <c r="EC103" i="1" a="1"/>
  <c r="EC103" i="1" s="1"/>
  <c r="EC104" i="1" a="1"/>
  <c r="EC104" i="1" s="1"/>
  <c r="EC105" i="1" a="1"/>
  <c r="EC105" i="1" s="1"/>
  <c r="EC106" i="1" a="1"/>
  <c r="EC106" i="1" s="1"/>
  <c r="EC107" i="1" a="1"/>
  <c r="EC107" i="1" s="1"/>
  <c r="EC108" i="1" a="1"/>
  <c r="EC108" i="1" s="1"/>
  <c r="EC109" i="1" a="1"/>
  <c r="EC109" i="1" s="1"/>
  <c r="EC110" i="1" a="1"/>
  <c r="EC110" i="1" s="1"/>
  <c r="EC111" i="1" a="1"/>
  <c r="EC111" i="1" s="1"/>
  <c r="EC112" i="1" a="1"/>
  <c r="EC112" i="1" s="1"/>
  <c r="EC88" i="1" a="1"/>
  <c r="EC88" i="1" s="1"/>
  <c r="EC114" i="1" a="1"/>
  <c r="EC114" i="1" s="1"/>
  <c r="EC115" i="1" a="1"/>
  <c r="EC115" i="1" s="1"/>
  <c r="EC116" i="1" a="1"/>
  <c r="EC116" i="1" s="1"/>
  <c r="EC117" i="1" a="1"/>
  <c r="EC117" i="1" s="1"/>
  <c r="EC118" i="1" a="1"/>
  <c r="EC118" i="1" s="1"/>
  <c r="EC66" i="1" a="1"/>
  <c r="EC66" i="1" s="1"/>
  <c r="EC69" i="1" a="1"/>
  <c r="EC69" i="1" s="1"/>
  <c r="EC121" i="1" a="1"/>
  <c r="EC121" i="1" s="1"/>
  <c r="EC122" i="1" a="1"/>
  <c r="EC122" i="1" s="1"/>
  <c r="EC152" i="1" a="1"/>
  <c r="EC152" i="1" s="1"/>
  <c r="EC124" i="1" a="1"/>
  <c r="EC124" i="1" s="1"/>
  <c r="EC125" i="1" a="1"/>
  <c r="EC125" i="1" s="1"/>
  <c r="EC13" i="1" a="1"/>
  <c r="EC13" i="1" s="1"/>
  <c r="EC127" i="1" a="1"/>
  <c r="EC127" i="1" s="1"/>
  <c r="EC128" i="1" a="1"/>
  <c r="EC128" i="1" s="1"/>
  <c r="EC129" i="1" a="1"/>
  <c r="EC129" i="1" s="1"/>
  <c r="EC130" i="1" a="1"/>
  <c r="EC130" i="1" s="1"/>
  <c r="EC131" i="1" a="1"/>
  <c r="EC131" i="1" s="1"/>
  <c r="EC132" i="1" a="1"/>
  <c r="EC132" i="1" s="1"/>
  <c r="EC133" i="1" a="1"/>
  <c r="EC133" i="1" s="1"/>
  <c r="EC134" i="1" a="1"/>
  <c r="EC134" i="1" s="1"/>
  <c r="EC135" i="1" a="1"/>
  <c r="EC135" i="1" s="1"/>
  <c r="EC136" i="1" a="1"/>
  <c r="EC136" i="1" s="1"/>
  <c r="EC137" i="1" a="1"/>
  <c r="EC137" i="1" s="1"/>
  <c r="EC138" i="1" a="1"/>
  <c r="EC138" i="1" s="1"/>
  <c r="EC139" i="1" a="1"/>
  <c r="EC139" i="1" s="1"/>
  <c r="EC140" i="1" a="1"/>
  <c r="EC140" i="1" s="1"/>
  <c r="EC141" i="1" a="1"/>
  <c r="EC141" i="1" s="1"/>
  <c r="EC142" i="1" a="1"/>
  <c r="EC142" i="1" s="1"/>
  <c r="EC143" i="1" a="1"/>
  <c r="EC143" i="1" s="1"/>
  <c r="EC144" i="1" a="1"/>
  <c r="EC144" i="1" s="1"/>
  <c r="EC145" i="1" a="1"/>
  <c r="EC145" i="1" s="1"/>
  <c r="EC146" i="1" a="1"/>
  <c r="EC146" i="1" s="1"/>
  <c r="EC147" i="1" a="1"/>
  <c r="EC147" i="1" s="1"/>
  <c r="EC148" i="1" a="1"/>
  <c r="EC148" i="1" s="1"/>
  <c r="EC149" i="1" a="1"/>
  <c r="EC149" i="1" s="1"/>
  <c r="EC150" i="1" a="1"/>
  <c r="EC150" i="1" s="1"/>
  <c r="EC151" i="1" a="1"/>
  <c r="EC151" i="1" s="1"/>
  <c r="EC119" i="1" a="1"/>
  <c r="EC119" i="1" s="1"/>
  <c r="EC153" i="1" a="1"/>
  <c r="EC153" i="1" s="1"/>
  <c r="EC91" i="1" a="1"/>
  <c r="EC91" i="1" s="1"/>
  <c r="EC155" i="1" a="1"/>
  <c r="EC155" i="1" s="1"/>
  <c r="EC156" i="1" a="1"/>
  <c r="EC156" i="1" s="1"/>
  <c r="EC157" i="1" a="1"/>
  <c r="EC157" i="1" s="1"/>
  <c r="EC158" i="1" a="1"/>
  <c r="EC158" i="1" s="1"/>
  <c r="EC159" i="1" a="1"/>
  <c r="EC159" i="1" s="1"/>
  <c r="EC160" i="1" a="1"/>
  <c r="EC160" i="1" s="1"/>
  <c r="EC161" i="1" a="1"/>
  <c r="EC161" i="1" s="1"/>
  <c r="EC64" i="1" a="1"/>
  <c r="EC64" i="1" s="1"/>
  <c r="EC163" i="1" a="1"/>
  <c r="EC163" i="1" s="1"/>
  <c r="EC164" i="1" a="1"/>
  <c r="EC164" i="1" s="1"/>
  <c r="EC165" i="1" a="1"/>
  <c r="EC165" i="1" s="1"/>
  <c r="EC166" i="1" a="1"/>
  <c r="EC166" i="1" s="1"/>
  <c r="EC167" i="1" a="1"/>
  <c r="EC167" i="1" s="1"/>
  <c r="EC168" i="1" a="1"/>
  <c r="EC168" i="1" s="1"/>
  <c r="EC169" i="1" a="1"/>
  <c r="EC169" i="1" s="1"/>
  <c r="EC170" i="1" a="1"/>
  <c r="EC170" i="1" s="1"/>
  <c r="EC171" i="1" a="1"/>
  <c r="EC171" i="1" s="1"/>
  <c r="EC172" i="1" a="1"/>
  <c r="EC172" i="1" s="1"/>
  <c r="EC173" i="1" a="1"/>
  <c r="EC173" i="1" s="1"/>
  <c r="EC174" i="1" a="1"/>
  <c r="EC174" i="1" s="1"/>
  <c r="EC175" i="1" a="1"/>
  <c r="EC175" i="1" s="1"/>
  <c r="EC176" i="1" a="1"/>
  <c r="EC176" i="1" s="1"/>
  <c r="EC177" i="1" a="1"/>
  <c r="EC177" i="1" s="1"/>
  <c r="EC178" i="1" a="1"/>
  <c r="EC178" i="1" s="1"/>
  <c r="EC154" i="1" a="1"/>
  <c r="EC154" i="1" s="1"/>
  <c r="EC180" i="1" a="1"/>
  <c r="EC180" i="1" s="1"/>
  <c r="EC181" i="1" a="1"/>
  <c r="EC181" i="1" s="1"/>
  <c r="EC182" i="1" a="1"/>
  <c r="EC182" i="1" s="1"/>
  <c r="EC190" i="1" a="1"/>
  <c r="EC190" i="1" s="1"/>
  <c r="EC184" i="1" a="1"/>
  <c r="EC184" i="1" s="1"/>
  <c r="EC18" i="1" a="1"/>
  <c r="EC18" i="1" s="1"/>
  <c r="EC186" i="1" a="1"/>
  <c r="EC186" i="1" s="1"/>
  <c r="EC187" i="1" a="1"/>
  <c r="EC187" i="1" s="1"/>
  <c r="EC188" i="1" a="1"/>
  <c r="EC188" i="1" s="1"/>
  <c r="EC189" i="1" a="1"/>
  <c r="EC189" i="1" s="1"/>
  <c r="EC34" i="1" a="1"/>
  <c r="EC34" i="1" s="1"/>
  <c r="EC191" i="1" a="1"/>
  <c r="EC191" i="1" s="1"/>
  <c r="EC192" i="1" a="1"/>
  <c r="EC192" i="1" s="1"/>
  <c r="EC193" i="1" a="1"/>
  <c r="EC193" i="1" s="1"/>
  <c r="EC194" i="1" a="1"/>
  <c r="EC194" i="1" s="1"/>
  <c r="EC195" i="1" a="1"/>
  <c r="EC195" i="1" s="1"/>
  <c r="EC196" i="1" a="1"/>
  <c r="EC196" i="1" s="1"/>
  <c r="EC197" i="1" a="1"/>
  <c r="EC197" i="1" s="1"/>
  <c r="EC198" i="1" a="1"/>
  <c r="EC198" i="1" s="1"/>
  <c r="EC199" i="1" a="1"/>
  <c r="EC199" i="1" s="1"/>
  <c r="EC200" i="1" a="1"/>
  <c r="EC200" i="1" s="1"/>
  <c r="EC254" i="1" a="1"/>
  <c r="EC254" i="1" s="1"/>
  <c r="EC202" i="1" a="1"/>
  <c r="EC202" i="1" s="1"/>
  <c r="EC203" i="1" a="1"/>
  <c r="EC203" i="1" s="1"/>
  <c r="EC204" i="1" a="1"/>
  <c r="EC204" i="1" s="1"/>
  <c r="EC205" i="1" a="1"/>
  <c r="EC205" i="1" s="1"/>
  <c r="EC206" i="1" a="1"/>
  <c r="EC206" i="1" s="1"/>
  <c r="EC207" i="1" a="1"/>
  <c r="EC207" i="1" s="1"/>
  <c r="EC113" i="1" a="1"/>
  <c r="EC113" i="1" s="1"/>
  <c r="EC209" i="1" a="1"/>
  <c r="EC209" i="1" s="1"/>
  <c r="EC210" i="1" a="1"/>
  <c r="EC210" i="1" s="1"/>
  <c r="EC211" i="1" a="1"/>
  <c r="EC211" i="1" s="1"/>
  <c r="EC212" i="1" a="1"/>
  <c r="EC212" i="1" s="1"/>
  <c r="EC213" i="1" a="1"/>
  <c r="EC213" i="1" s="1"/>
  <c r="EC214" i="1" a="1"/>
  <c r="EC214" i="1" s="1"/>
  <c r="EC215" i="1" a="1"/>
  <c r="EC215" i="1" s="1"/>
  <c r="EC216" i="1" a="1"/>
  <c r="EC216" i="1" s="1"/>
  <c r="EC217" i="1" a="1"/>
  <c r="EC217" i="1" s="1"/>
  <c r="EC218" i="1" a="1"/>
  <c r="EC218" i="1" s="1"/>
  <c r="EC219" i="1" a="1"/>
  <c r="EC219" i="1" s="1"/>
  <c r="EC220" i="1" a="1"/>
  <c r="EC220" i="1" s="1"/>
  <c r="EC221" i="1" a="1"/>
  <c r="EC221" i="1" s="1"/>
  <c r="EC222" i="1" a="1"/>
  <c r="EC222" i="1" s="1"/>
  <c r="EC223" i="1" a="1"/>
  <c r="EC223" i="1" s="1"/>
  <c r="EC224" i="1" a="1"/>
  <c r="EC224" i="1" s="1"/>
  <c r="EC225" i="1" a="1"/>
  <c r="EC225" i="1" s="1"/>
  <c r="EC226" i="1" a="1"/>
  <c r="EC226" i="1" s="1"/>
  <c r="EC227" i="1" a="1"/>
  <c r="EC227" i="1" s="1"/>
  <c r="EC228" i="1" a="1"/>
  <c r="EC228" i="1" s="1"/>
  <c r="EC229" i="1" a="1"/>
  <c r="EC229" i="1" s="1"/>
  <c r="EC230" i="1" a="1"/>
  <c r="EC230" i="1" s="1"/>
  <c r="EC231" i="1" a="1"/>
  <c r="EC231" i="1" s="1"/>
  <c r="EC232" i="1" a="1"/>
  <c r="EC232" i="1" s="1"/>
  <c r="EC233" i="1" a="1"/>
  <c r="EC233" i="1" s="1"/>
  <c r="EC234" i="1" a="1"/>
  <c r="EC234" i="1" s="1"/>
  <c r="EC235" i="1" a="1"/>
  <c r="EC235" i="1" s="1"/>
  <c r="EC236" i="1" a="1"/>
  <c r="EC236" i="1" s="1"/>
  <c r="EC237" i="1" a="1"/>
  <c r="EC237" i="1" s="1"/>
  <c r="EC238" i="1" a="1"/>
  <c r="EC238" i="1" s="1"/>
  <c r="EC239" i="1" a="1"/>
  <c r="EC239" i="1" s="1"/>
  <c r="EC240" i="1" a="1"/>
  <c r="EC240" i="1" s="1"/>
  <c r="EC241" i="1" a="1"/>
  <c r="EC241" i="1" s="1"/>
  <c r="EC242" i="1" a="1"/>
  <c r="EC242" i="1" s="1"/>
  <c r="EC243" i="1" a="1"/>
  <c r="EC243" i="1" s="1"/>
  <c r="EC244" i="1" a="1"/>
  <c r="EC244" i="1" s="1"/>
  <c r="EC245" i="1" a="1"/>
  <c r="EC245" i="1" s="1"/>
  <c r="EC246" i="1" a="1"/>
  <c r="EC246" i="1" s="1"/>
  <c r="EC247" i="1" a="1"/>
  <c r="EC247" i="1" s="1"/>
  <c r="EC248" i="1" a="1"/>
  <c r="EC248" i="1" s="1"/>
  <c r="EC249" i="1" a="1"/>
  <c r="EC249" i="1" s="1"/>
  <c r="EC250" i="1" a="1"/>
  <c r="EC250" i="1" s="1"/>
  <c r="EC251" i="1" a="1"/>
  <c r="EC251" i="1" s="1"/>
  <c r="EC252" i="1" a="1"/>
  <c r="EC252" i="1" s="1"/>
  <c r="EC253" i="1" a="1"/>
  <c r="EC253" i="1" s="1"/>
  <c r="EC201" i="1" a="1"/>
  <c r="EC201" i="1" s="1"/>
  <c r="EC255" i="1" a="1"/>
  <c r="EC255" i="1" s="1"/>
  <c r="EC256" i="1" a="1"/>
  <c r="EC256" i="1" s="1"/>
  <c r="EC257" i="1" a="1"/>
  <c r="EC257" i="1" s="1"/>
  <c r="EC258" i="1" a="1"/>
  <c r="EC258" i="1" s="1"/>
  <c r="EC259" i="1" a="1"/>
  <c r="EC259" i="1" s="1"/>
  <c r="EC260" i="1" a="1"/>
  <c r="EC260" i="1" s="1"/>
  <c r="EC261" i="1" a="1"/>
  <c r="EC261" i="1" s="1"/>
  <c r="EC262" i="1" a="1"/>
  <c r="EC262" i="1" s="1"/>
  <c r="EC263" i="1" a="1"/>
  <c r="EC263" i="1" s="1"/>
  <c r="EC264" i="1" a="1"/>
  <c r="EC264" i="1" s="1"/>
  <c r="EC265" i="1" a="1"/>
  <c r="EC265" i="1" s="1"/>
  <c r="EC266" i="1" a="1"/>
  <c r="EC266" i="1" s="1"/>
  <c r="EC267" i="1" a="1"/>
  <c r="EC267" i="1" s="1"/>
  <c r="EC268" i="1" a="1"/>
  <c r="EC268" i="1" s="1"/>
  <c r="EC269" i="1" a="1"/>
  <c r="EC269" i="1" s="1"/>
  <c r="EC270" i="1" a="1"/>
  <c r="EC270" i="1" s="1"/>
  <c r="EC5" i="1" a="1"/>
  <c r="EC5" i="1" s="1"/>
  <c r="EC6" i="1" a="1"/>
  <c r="EC6" i="1" s="1"/>
  <c r="EC7" i="1" a="1"/>
  <c r="EC7" i="1" s="1"/>
  <c r="EC8" i="1" a="1"/>
  <c r="EC8" i="1" s="1"/>
  <c r="EC9" i="1" a="1"/>
  <c r="EC9" i="1" s="1"/>
  <c r="EC10" i="1" a="1"/>
  <c r="EC10" i="1" s="1"/>
  <c r="EC11" i="1" a="1"/>
  <c r="EC11" i="1" s="1"/>
  <c r="EC12" i="1" a="1"/>
  <c r="EC12" i="1" s="1"/>
  <c r="EC14" i="1" a="1"/>
  <c r="EC14" i="1" s="1"/>
  <c r="EC15" i="1" a="1"/>
  <c r="EC15" i="1" s="1"/>
  <c r="EC16" i="1" a="1"/>
  <c r="EC16" i="1" s="1"/>
  <c r="EC17" i="1" a="1"/>
  <c r="EC17" i="1" s="1"/>
  <c r="EC89" i="1" a="1"/>
  <c r="EC89" i="1" s="1"/>
  <c r="EC19" i="1" a="1"/>
  <c r="EC19" i="1" s="1"/>
  <c r="EC20" i="1" a="1"/>
  <c r="EC20" i="1" s="1"/>
  <c r="EC21" i="1" a="1"/>
  <c r="EC21" i="1" s="1"/>
  <c r="EC22" i="1" a="1"/>
  <c r="EC22" i="1" s="1"/>
  <c r="EC23" i="1" a="1"/>
  <c r="EC23" i="1" s="1"/>
  <c r="EC24" i="1" a="1"/>
  <c r="EC24" i="1" s="1"/>
  <c r="EC25" i="1" a="1"/>
  <c r="EC25" i="1" s="1"/>
  <c r="EC26" i="1" a="1"/>
  <c r="EC26" i="1" s="1"/>
  <c r="EC27" i="1" a="1"/>
  <c r="EC27" i="1" s="1"/>
  <c r="EC28" i="1" a="1"/>
  <c r="EC28" i="1" s="1"/>
  <c r="EC29" i="1" a="1"/>
  <c r="EC29" i="1" s="1"/>
  <c r="EC30" i="1" a="1"/>
  <c r="EC30" i="1" s="1"/>
  <c r="EC31" i="1" a="1"/>
  <c r="EC31" i="1" s="1"/>
  <c r="EC32" i="1" a="1"/>
  <c r="EC32" i="1" s="1"/>
  <c r="EC33" i="1" a="1"/>
  <c r="EC33" i="1" s="1"/>
  <c r="EC208" i="1" a="1"/>
  <c r="EC208" i="1" s="1"/>
  <c r="EC35" i="1" a="1"/>
  <c r="EC35" i="1" s="1"/>
  <c r="EC36" i="1" a="1"/>
  <c r="EC36" i="1" s="1"/>
  <c r="EC37" i="1" a="1"/>
  <c r="EC37" i="1" s="1"/>
  <c r="EC38" i="1" a="1"/>
  <c r="EC38" i="1" s="1"/>
  <c r="EC39" i="1" a="1"/>
  <c r="EC39" i="1" s="1"/>
  <c r="EC40" i="1" a="1"/>
  <c r="EC40" i="1" s="1"/>
  <c r="EC41" i="1" a="1"/>
  <c r="EC41" i="1" s="1"/>
  <c r="EC42" i="1" a="1"/>
  <c r="EC42" i="1" s="1"/>
  <c r="EC43" i="1" a="1"/>
  <c r="EC43" i="1" s="1"/>
  <c r="EC44" i="1" a="1"/>
  <c r="EC44" i="1" s="1"/>
  <c r="EC45" i="1" a="1"/>
  <c r="EC45" i="1" s="1"/>
  <c r="EC46" i="1" a="1"/>
  <c r="EC46" i="1" s="1"/>
  <c r="EC47" i="1" a="1"/>
  <c r="EC47" i="1" s="1"/>
  <c r="EC48" i="1" a="1"/>
  <c r="EC48" i="1" s="1"/>
  <c r="EC49" i="1" a="1"/>
  <c r="EC49" i="1" s="1"/>
  <c r="EC50" i="1" a="1"/>
  <c r="EC50" i="1" s="1"/>
  <c r="EC51" i="1" a="1"/>
  <c r="EC51" i="1" s="1"/>
  <c r="EC52" i="1" a="1"/>
  <c r="EC52" i="1" s="1"/>
  <c r="EC53" i="1" a="1"/>
  <c r="EC53" i="1" s="1"/>
  <c r="EC54" i="1" a="1"/>
  <c r="EC54" i="1" s="1"/>
  <c r="EC55" i="1" a="1"/>
  <c r="EC55" i="1" s="1"/>
  <c r="EC56" i="1" a="1"/>
  <c r="EC56" i="1" s="1"/>
  <c r="EC57" i="1" a="1"/>
  <c r="EC57" i="1" s="1"/>
  <c r="EC58" i="1" a="1"/>
  <c r="EC58" i="1" s="1"/>
  <c r="EC59" i="1" a="1"/>
  <c r="EC59" i="1" s="1"/>
  <c r="EC60" i="1" a="1"/>
  <c r="EC60" i="1" s="1"/>
  <c r="EC61" i="1" a="1"/>
  <c r="EC61" i="1" s="1"/>
  <c r="EC62" i="1" a="1"/>
  <c r="EC62" i="1" s="1"/>
  <c r="EC63" i="1" a="1"/>
  <c r="EC63" i="1" s="1"/>
  <c r="EC126" i="1" a="1"/>
  <c r="EC126" i="1" s="1"/>
  <c r="EC65" i="1" a="1"/>
  <c r="EC65" i="1" s="1"/>
  <c r="EC120" i="1" a="1"/>
  <c r="EC120" i="1" s="1"/>
  <c r="EC67" i="1" a="1"/>
  <c r="EC67" i="1" s="1"/>
  <c r="EC68" i="1" a="1"/>
  <c r="EC68" i="1" s="1"/>
  <c r="EC183" i="1" a="1"/>
  <c r="EC183" i="1" s="1"/>
  <c r="EC70" i="1" a="1"/>
  <c r="EC70" i="1" s="1"/>
  <c r="EC71" i="1" a="1"/>
  <c r="EC71" i="1" s="1"/>
  <c r="DH5" i="1" a="1"/>
  <c r="DH5" i="1" s="1"/>
  <c r="DX269" i="1" l="1"/>
  <c r="DV263" i="1"/>
  <c r="DX263" i="1" s="1"/>
  <c r="DV7" i="1"/>
  <c r="DX7" i="1" s="1"/>
  <c r="DV80" i="1"/>
  <c r="DX80" i="1" s="1"/>
  <c r="DV91" i="1"/>
  <c r="DX91" i="1" s="1"/>
  <c r="DV164" i="1"/>
  <c r="DX164" i="1" s="1"/>
  <c r="DV175" i="1"/>
  <c r="DX175" i="1" s="1"/>
  <c r="DV252" i="1"/>
  <c r="DX252" i="1" s="1"/>
  <c r="DV47" i="1"/>
  <c r="DX47" i="1" s="1"/>
  <c r="DV219" i="1"/>
  <c r="DX219" i="1" s="1"/>
  <c r="DV124" i="1"/>
  <c r="DX124" i="1" s="1"/>
  <c r="DV29" i="1"/>
  <c r="DX29" i="1" s="1"/>
  <c r="DV73" i="1"/>
  <c r="DX73" i="1" s="1"/>
  <c r="DV135" i="1"/>
  <c r="DX135" i="1" s="1"/>
  <c r="DV36" i="1"/>
  <c r="DX36" i="1" s="1"/>
  <c r="DV208" i="1"/>
  <c r="DX208" i="1" s="1"/>
  <c r="DV117" i="1"/>
  <c r="DX117" i="1" s="1"/>
  <c r="DV15" i="1"/>
  <c r="DX15" i="1" s="1"/>
  <c r="DV59" i="1"/>
  <c r="DX59" i="1" s="1"/>
  <c r="DV103" i="1"/>
  <c r="DX103" i="1" s="1"/>
  <c r="DV143" i="1"/>
  <c r="DX143" i="1" s="1"/>
  <c r="DV187" i="1"/>
  <c r="DX187" i="1" s="1"/>
  <c r="DV231" i="1"/>
  <c r="DX231" i="1" s="1"/>
  <c r="DV5" i="1"/>
  <c r="DX5" i="1" s="1"/>
  <c r="DV48" i="1"/>
  <c r="DX48" i="1" s="1"/>
  <c r="DV92" i="1"/>
  <c r="DX92" i="1" s="1"/>
  <c r="DV132" i="1"/>
  <c r="DX132" i="1" s="1"/>
  <c r="DV176" i="1"/>
  <c r="DX176" i="1" s="1"/>
  <c r="DV220" i="1"/>
  <c r="DX220" i="1" s="1"/>
  <c r="DV260" i="1"/>
  <c r="DX260" i="1" s="1"/>
  <c r="DV41" i="1"/>
  <c r="DX41" i="1" s="1"/>
  <c r="DV85" i="1"/>
  <c r="DX85" i="1" s="1"/>
  <c r="DV125" i="1"/>
  <c r="DX125" i="1" s="1"/>
  <c r="DV27" i="1"/>
  <c r="DX27" i="1" s="1"/>
  <c r="DV71" i="1"/>
  <c r="DX71" i="1" s="1"/>
  <c r="DV111" i="1"/>
  <c r="DX111" i="1" s="1"/>
  <c r="DV155" i="1"/>
  <c r="DX155" i="1" s="1"/>
  <c r="DV199" i="1"/>
  <c r="DX199" i="1" s="1"/>
  <c r="DV239" i="1"/>
  <c r="DX239" i="1" s="1"/>
  <c r="DV16" i="1"/>
  <c r="DX16" i="1" s="1"/>
  <c r="DV60" i="1"/>
  <c r="DX60" i="1" s="1"/>
  <c r="DV100" i="1"/>
  <c r="DX100" i="1" s="1"/>
  <c r="DV144" i="1"/>
  <c r="DX144" i="1" s="1"/>
  <c r="DV188" i="1"/>
  <c r="DX188" i="1" s="1"/>
  <c r="DV228" i="1"/>
  <c r="DX228" i="1" s="1"/>
  <c r="DV9" i="1"/>
  <c r="DX9" i="1" s="1"/>
  <c r="DV53" i="1"/>
  <c r="DX53" i="1" s="1"/>
  <c r="DV93" i="1"/>
  <c r="DX93" i="1" s="1"/>
  <c r="DV137" i="1"/>
  <c r="DX137" i="1" s="1"/>
  <c r="DV39" i="1"/>
  <c r="DX39" i="1" s="1"/>
  <c r="DV79" i="1"/>
  <c r="DX79" i="1" s="1"/>
  <c r="DV123" i="1"/>
  <c r="DX123" i="1" s="1"/>
  <c r="DV167" i="1"/>
  <c r="DX167" i="1" s="1"/>
  <c r="DV207" i="1"/>
  <c r="DX207" i="1" s="1"/>
  <c r="DV251" i="1"/>
  <c r="DX251" i="1" s="1"/>
  <c r="DV28" i="1"/>
  <c r="DX28" i="1" s="1"/>
  <c r="DV68" i="1"/>
  <c r="DX68" i="1" s="1"/>
  <c r="DV112" i="1"/>
  <c r="DX112" i="1" s="1"/>
  <c r="DV156" i="1"/>
  <c r="DX156" i="1" s="1"/>
  <c r="DV196" i="1"/>
  <c r="DX196" i="1" s="1"/>
  <c r="DV240" i="1"/>
  <c r="DX240" i="1" s="1"/>
  <c r="DV21" i="1"/>
  <c r="DX21" i="1" s="1"/>
  <c r="DV61" i="1"/>
  <c r="DX61" i="1" s="1"/>
  <c r="DV105" i="1"/>
  <c r="DX105" i="1" s="1"/>
  <c r="DV149" i="1"/>
  <c r="DX149" i="1" s="1"/>
  <c r="DV23" i="1"/>
  <c r="DX23" i="1" s="1"/>
  <c r="DV43" i="1"/>
  <c r="DX43" i="1" s="1"/>
  <c r="DV63" i="1"/>
  <c r="DX63" i="1" s="1"/>
  <c r="DV87" i="1"/>
  <c r="DX87" i="1" s="1"/>
  <c r="DV107" i="1"/>
  <c r="DX107" i="1" s="1"/>
  <c r="DV127" i="1"/>
  <c r="DX127" i="1" s="1"/>
  <c r="DV151" i="1"/>
  <c r="DX151" i="1" s="1"/>
  <c r="DV171" i="1"/>
  <c r="DX171" i="1" s="1"/>
  <c r="DV191" i="1"/>
  <c r="DX191" i="1" s="1"/>
  <c r="DV215" i="1"/>
  <c r="DX215" i="1" s="1"/>
  <c r="DV235" i="1"/>
  <c r="DX235" i="1" s="1"/>
  <c r="DV255" i="1"/>
  <c r="DX255" i="1" s="1"/>
  <c r="DV12" i="1"/>
  <c r="DX12" i="1" s="1"/>
  <c r="DV32" i="1"/>
  <c r="DX32" i="1" s="1"/>
  <c r="DV52" i="1"/>
  <c r="DX52" i="1" s="1"/>
  <c r="DV76" i="1"/>
  <c r="DX76" i="1" s="1"/>
  <c r="DV96" i="1"/>
  <c r="DX96" i="1" s="1"/>
  <c r="DV116" i="1"/>
  <c r="DX116" i="1" s="1"/>
  <c r="DV140" i="1"/>
  <c r="DX140" i="1" s="1"/>
  <c r="DV160" i="1"/>
  <c r="DX160" i="1" s="1"/>
  <c r="DV180" i="1"/>
  <c r="DX180" i="1" s="1"/>
  <c r="DV204" i="1"/>
  <c r="DX204" i="1" s="1"/>
  <c r="DV224" i="1"/>
  <c r="DX224" i="1" s="1"/>
  <c r="DV244" i="1"/>
  <c r="DX244" i="1" s="1"/>
  <c r="DV268" i="1"/>
  <c r="DX268" i="1" s="1"/>
  <c r="DV25" i="1"/>
  <c r="DX25" i="1" s="1"/>
  <c r="DV45" i="1"/>
  <c r="DX45" i="1" s="1"/>
  <c r="DV154" i="1"/>
  <c r="DX154" i="1" s="1"/>
  <c r="DV185" i="1"/>
  <c r="DX185" i="1" s="1"/>
  <c r="DV109" i="1"/>
  <c r="DX109" i="1" s="1"/>
  <c r="DV133" i="1"/>
  <c r="DX133" i="1" s="1"/>
  <c r="DV153" i="1"/>
  <c r="DX153" i="1" s="1"/>
  <c r="DV18" i="1"/>
  <c r="DX18" i="1" s="1"/>
  <c r="DV217" i="1"/>
  <c r="DX217" i="1" s="1"/>
  <c r="DV249" i="1"/>
  <c r="DX249" i="1" s="1"/>
  <c r="DV89" i="1"/>
  <c r="DX89" i="1" s="1"/>
  <c r="DV50" i="1"/>
  <c r="DX50" i="1" s="1"/>
  <c r="DV82" i="1"/>
  <c r="DX82" i="1" s="1"/>
  <c r="DV114" i="1"/>
  <c r="DX114" i="1" s="1"/>
  <c r="DV146" i="1"/>
  <c r="DX146" i="1" s="1"/>
  <c r="DV178" i="1"/>
  <c r="DX178" i="1" s="1"/>
  <c r="DV210" i="1"/>
  <c r="DX210" i="1" s="1"/>
  <c r="DV242" i="1"/>
  <c r="DX242" i="1" s="1"/>
  <c r="DV157" i="1"/>
  <c r="DX157" i="1" s="1"/>
  <c r="DV189" i="1"/>
  <c r="DX189" i="1" s="1"/>
  <c r="DV221" i="1"/>
  <c r="DX221" i="1" s="1"/>
  <c r="DV253" i="1"/>
  <c r="DX253" i="1" s="1"/>
  <c r="DV22" i="1"/>
  <c r="DX22" i="1" s="1"/>
  <c r="DV54" i="1"/>
  <c r="DX54" i="1" s="1"/>
  <c r="DV86" i="1"/>
  <c r="DX86" i="1" s="1"/>
  <c r="DV118" i="1"/>
  <c r="DX118" i="1" s="1"/>
  <c r="DV150" i="1"/>
  <c r="DX150" i="1" s="1"/>
  <c r="DV182" i="1"/>
  <c r="DX182" i="1" s="1"/>
  <c r="DV214" i="1"/>
  <c r="DX214" i="1" s="1"/>
  <c r="DV246" i="1"/>
  <c r="DX246" i="1" s="1"/>
  <c r="DV11" i="1"/>
  <c r="DX11" i="1" s="1"/>
  <c r="DV31" i="1"/>
  <c r="DX31" i="1" s="1"/>
  <c r="DV55" i="1"/>
  <c r="DX55" i="1" s="1"/>
  <c r="DV75" i="1"/>
  <c r="DX75" i="1" s="1"/>
  <c r="DV95" i="1"/>
  <c r="DX95" i="1" s="1"/>
  <c r="DV66" i="1"/>
  <c r="DX66" i="1" s="1"/>
  <c r="DV139" i="1"/>
  <c r="DX139" i="1" s="1"/>
  <c r="DV159" i="1"/>
  <c r="DX159" i="1" s="1"/>
  <c r="DV183" i="1"/>
  <c r="DX183" i="1" s="1"/>
  <c r="DV203" i="1"/>
  <c r="DX203" i="1" s="1"/>
  <c r="DV223" i="1"/>
  <c r="DX223" i="1" s="1"/>
  <c r="DV247" i="1"/>
  <c r="DX247" i="1" s="1"/>
  <c r="DV267" i="1"/>
  <c r="DX267" i="1" s="1"/>
  <c r="DV20" i="1"/>
  <c r="DX20" i="1" s="1"/>
  <c r="DV44" i="1"/>
  <c r="DX44" i="1" s="1"/>
  <c r="DV64" i="1"/>
  <c r="DX64" i="1" s="1"/>
  <c r="DV84" i="1"/>
  <c r="DX84" i="1" s="1"/>
  <c r="DV108" i="1"/>
  <c r="DX108" i="1" s="1"/>
  <c r="DV128" i="1"/>
  <c r="DX128" i="1" s="1"/>
  <c r="DV148" i="1"/>
  <c r="DX148" i="1" s="1"/>
  <c r="DV172" i="1"/>
  <c r="DX172" i="1" s="1"/>
  <c r="DV192" i="1"/>
  <c r="DX192" i="1" s="1"/>
  <c r="DV212" i="1"/>
  <c r="DX212" i="1" s="1"/>
  <c r="DV236" i="1"/>
  <c r="DX236" i="1" s="1"/>
  <c r="DV256" i="1"/>
  <c r="DX256" i="1" s="1"/>
  <c r="DV13" i="1"/>
  <c r="DX13" i="1" s="1"/>
  <c r="DV37" i="1"/>
  <c r="DX37" i="1" s="1"/>
  <c r="DV57" i="1"/>
  <c r="DX57" i="1" s="1"/>
  <c r="DV77" i="1"/>
  <c r="DX77" i="1" s="1"/>
  <c r="DV101" i="1"/>
  <c r="DX101" i="1" s="1"/>
  <c r="DV121" i="1"/>
  <c r="DX121" i="1" s="1"/>
  <c r="DV141" i="1"/>
  <c r="DX141" i="1" s="1"/>
  <c r="DV169" i="1"/>
  <c r="DX169" i="1" s="1"/>
  <c r="DV201" i="1"/>
  <c r="DX201" i="1" s="1"/>
  <c r="DV233" i="1"/>
  <c r="DX233" i="1" s="1"/>
  <c r="DV265" i="1"/>
  <c r="DX265" i="1" s="1"/>
  <c r="DV34" i="1"/>
  <c r="DX34" i="1" s="1"/>
  <c r="DV120" i="1"/>
  <c r="DX120" i="1" s="1"/>
  <c r="DV98" i="1"/>
  <c r="DX98" i="1" s="1"/>
  <c r="DV130" i="1"/>
  <c r="DX130" i="1" s="1"/>
  <c r="DV162" i="1"/>
  <c r="DX162" i="1" s="1"/>
  <c r="DV194" i="1"/>
  <c r="DX194" i="1" s="1"/>
  <c r="DV226" i="1"/>
  <c r="DX226" i="1" s="1"/>
  <c r="DV258" i="1"/>
  <c r="DX258" i="1" s="1"/>
  <c r="DV173" i="1"/>
  <c r="DX173" i="1" s="1"/>
  <c r="DV205" i="1"/>
  <c r="DX205" i="1" s="1"/>
  <c r="DV237" i="1"/>
  <c r="DX237" i="1" s="1"/>
  <c r="DV6" i="1"/>
  <c r="DX6" i="1" s="1"/>
  <c r="DV38" i="1"/>
  <c r="DX38" i="1" s="1"/>
  <c r="DV70" i="1"/>
  <c r="DX70" i="1" s="1"/>
  <c r="DV102" i="1"/>
  <c r="DX102" i="1" s="1"/>
  <c r="DV134" i="1"/>
  <c r="DX134" i="1" s="1"/>
  <c r="DV166" i="1"/>
  <c r="DX166" i="1" s="1"/>
  <c r="DV198" i="1"/>
  <c r="DX198" i="1" s="1"/>
  <c r="DV230" i="1"/>
  <c r="DX230" i="1" s="1"/>
  <c r="DV262" i="1"/>
  <c r="DX262" i="1" s="1"/>
  <c r="DV19" i="1"/>
  <c r="DX19" i="1" s="1"/>
  <c r="DV35" i="1"/>
  <c r="DX35" i="1" s="1"/>
  <c r="DV51" i="1"/>
  <c r="DX51" i="1" s="1"/>
  <c r="DV67" i="1"/>
  <c r="DX67" i="1" s="1"/>
  <c r="DV83" i="1"/>
  <c r="DX83" i="1" s="1"/>
  <c r="DV99" i="1"/>
  <c r="DX99" i="1" s="1"/>
  <c r="DV115" i="1"/>
  <c r="DX115" i="1" s="1"/>
  <c r="DV131" i="1"/>
  <c r="DX131" i="1" s="1"/>
  <c r="DV147" i="1"/>
  <c r="DX147" i="1" s="1"/>
  <c r="DV163" i="1"/>
  <c r="DX163" i="1" s="1"/>
  <c r="DV179" i="1"/>
  <c r="DX179" i="1" s="1"/>
  <c r="DV195" i="1"/>
  <c r="DX195" i="1" s="1"/>
  <c r="DV211" i="1"/>
  <c r="DX211" i="1" s="1"/>
  <c r="DV227" i="1"/>
  <c r="DX227" i="1" s="1"/>
  <c r="DV243" i="1"/>
  <c r="DX243" i="1" s="1"/>
  <c r="DV259" i="1"/>
  <c r="DX259" i="1" s="1"/>
  <c r="DV8" i="1"/>
  <c r="DX8" i="1" s="1"/>
  <c r="DV24" i="1"/>
  <c r="DX24" i="1" s="1"/>
  <c r="DV40" i="1"/>
  <c r="DX40" i="1" s="1"/>
  <c r="DV56" i="1"/>
  <c r="DX56" i="1" s="1"/>
  <c r="DV72" i="1"/>
  <c r="DX72" i="1" s="1"/>
  <c r="DV113" i="1"/>
  <c r="DX113" i="1" s="1"/>
  <c r="DV104" i="1"/>
  <c r="DX104" i="1" s="1"/>
  <c r="DV69" i="1"/>
  <c r="DX69" i="1" s="1"/>
  <c r="DV136" i="1"/>
  <c r="DX136" i="1" s="1"/>
  <c r="DV119" i="1"/>
  <c r="DX119" i="1" s="1"/>
  <c r="DV168" i="1"/>
  <c r="DX168" i="1" s="1"/>
  <c r="DV184" i="1"/>
  <c r="DX184" i="1" s="1"/>
  <c r="DV200" i="1"/>
  <c r="DX200" i="1" s="1"/>
  <c r="DV216" i="1"/>
  <c r="DX216" i="1" s="1"/>
  <c r="DV232" i="1"/>
  <c r="DX232" i="1" s="1"/>
  <c r="DV248" i="1"/>
  <c r="DX248" i="1" s="1"/>
  <c r="DV264" i="1"/>
  <c r="DX264" i="1" s="1"/>
  <c r="DV17" i="1"/>
  <c r="DX17" i="1" s="1"/>
  <c r="DV33" i="1"/>
  <c r="DX33" i="1" s="1"/>
  <c r="DV49" i="1"/>
  <c r="DX49" i="1" s="1"/>
  <c r="DV65" i="1"/>
  <c r="DX65" i="1" s="1"/>
  <c r="DV81" i="1"/>
  <c r="DX81" i="1" s="1"/>
  <c r="DV97" i="1"/>
  <c r="DX97" i="1" s="1"/>
  <c r="DV152" i="1"/>
  <c r="DX152" i="1" s="1"/>
  <c r="DV129" i="1"/>
  <c r="DX129" i="1" s="1"/>
  <c r="DV145" i="1"/>
  <c r="DX145" i="1" s="1"/>
  <c r="DV161" i="1"/>
  <c r="DX161" i="1" s="1"/>
  <c r="DV177" i="1"/>
  <c r="DX177" i="1" s="1"/>
  <c r="DV193" i="1"/>
  <c r="DX193" i="1" s="1"/>
  <c r="DV209" i="1"/>
  <c r="DX209" i="1" s="1"/>
  <c r="DV225" i="1"/>
  <c r="DX225" i="1" s="1"/>
  <c r="DV241" i="1"/>
  <c r="DX241" i="1" s="1"/>
  <c r="DV257" i="1"/>
  <c r="DX257" i="1" s="1"/>
  <c r="DV10" i="1"/>
  <c r="DX10" i="1" s="1"/>
  <c r="DV26" i="1"/>
  <c r="DX26" i="1" s="1"/>
  <c r="DV42" i="1"/>
  <c r="DX42" i="1" s="1"/>
  <c r="DV58" i="1"/>
  <c r="DX58" i="1" s="1"/>
  <c r="DV74" i="1"/>
  <c r="DX74" i="1" s="1"/>
  <c r="DV90" i="1"/>
  <c r="DX90" i="1" s="1"/>
  <c r="DV106" i="1"/>
  <c r="DX106" i="1" s="1"/>
  <c r="DV122" i="1"/>
  <c r="DX122" i="1" s="1"/>
  <c r="DV138" i="1"/>
  <c r="DX138" i="1" s="1"/>
  <c r="DV88" i="1"/>
  <c r="DX88" i="1" s="1"/>
  <c r="DV170" i="1"/>
  <c r="DX170" i="1" s="1"/>
  <c r="DV186" i="1"/>
  <c r="DX186" i="1" s="1"/>
  <c r="DV202" i="1"/>
  <c r="DX202" i="1" s="1"/>
  <c r="DV218" i="1"/>
  <c r="DX218" i="1" s="1"/>
  <c r="DV234" i="1"/>
  <c r="DX234" i="1" s="1"/>
  <c r="DV250" i="1"/>
  <c r="DX250" i="1" s="1"/>
  <c r="DV266" i="1"/>
  <c r="DX266" i="1" s="1"/>
  <c r="DV165" i="1"/>
  <c r="DX165" i="1" s="1"/>
  <c r="DV181" i="1"/>
  <c r="DX181" i="1" s="1"/>
  <c r="DV197" i="1"/>
  <c r="DX197" i="1" s="1"/>
  <c r="DV213" i="1"/>
  <c r="DX213" i="1" s="1"/>
  <c r="DV229" i="1"/>
  <c r="DX229" i="1" s="1"/>
  <c r="DV245" i="1"/>
  <c r="DX245" i="1" s="1"/>
  <c r="DV261" i="1"/>
  <c r="DX261" i="1" s="1"/>
  <c r="DV14" i="1"/>
  <c r="DX14" i="1" s="1"/>
  <c r="DV30" i="1"/>
  <c r="DX30" i="1" s="1"/>
  <c r="DV46" i="1"/>
  <c r="DX46" i="1" s="1"/>
  <c r="DV62" i="1"/>
  <c r="DX62" i="1" s="1"/>
  <c r="DV78" i="1"/>
  <c r="DX78" i="1" s="1"/>
  <c r="DV94" i="1"/>
  <c r="DX94" i="1" s="1"/>
  <c r="DV110" i="1"/>
  <c r="DX110" i="1" s="1"/>
  <c r="DV126" i="1"/>
  <c r="DX126" i="1" s="1"/>
  <c r="DV142" i="1"/>
  <c r="DX142" i="1" s="1"/>
  <c r="DV158" i="1"/>
  <c r="DX158" i="1" s="1"/>
  <c r="DV174" i="1"/>
  <c r="DX174" i="1" s="1"/>
  <c r="DV190" i="1"/>
  <c r="DX190" i="1" s="1"/>
  <c r="DV206" i="1"/>
  <c r="DX206" i="1" s="1"/>
  <c r="DV222" i="1"/>
  <c r="DX222" i="1" s="1"/>
  <c r="DV238" i="1"/>
  <c r="DX238" i="1" s="1"/>
  <c r="DV254" i="1"/>
  <c r="DX254" i="1" s="1"/>
  <c r="DV270" i="1"/>
  <c r="DX270" i="1" s="1"/>
  <c r="F8" i="3"/>
  <c r="F3" i="3"/>
  <c r="F10" i="3"/>
  <c r="F19" i="3"/>
  <c r="F14" i="3"/>
  <c r="F5" i="3"/>
  <c r="F9" i="3"/>
  <c r="F4" i="3"/>
  <c r="F18" i="3"/>
  <c r="F7" i="3"/>
  <c r="F13" i="3"/>
  <c r="F16" i="3"/>
  <c r="F6" i="3"/>
  <c r="F22" i="3"/>
  <c r="F11" i="3"/>
  <c r="F21" i="3"/>
  <c r="F2" i="3"/>
  <c r="F23" i="3"/>
  <c r="C24" i="3"/>
  <c r="E31" i="3"/>
  <c r="F20" i="3"/>
  <c r="F15" i="3"/>
  <c r="F17" i="3"/>
  <c r="F12" i="3"/>
  <c r="CG5" i="1"/>
  <c r="C25" i="3" l="1"/>
  <c r="F24" i="3"/>
  <c r="E32" i="3"/>
  <c r="CK5" i="1"/>
  <c r="CH5" i="1"/>
  <c r="CL5" i="1"/>
  <c r="CI5" i="1"/>
  <c r="CM5" i="1"/>
  <c r="CE179" i="1"/>
  <c r="C26" i="3" l="1"/>
  <c r="F25" i="3"/>
  <c r="E33" i="3"/>
  <c r="CN5" i="1" a="1"/>
  <c r="CN5" i="1" s="1"/>
  <c r="CO5" i="1" a="1"/>
  <c r="CO5" i="1" s="1"/>
  <c r="CE89" i="1"/>
  <c r="C27" i="3" l="1"/>
  <c r="F26" i="3"/>
  <c r="E34" i="3"/>
  <c r="CP5" i="1"/>
  <c r="C28" i="3" l="1"/>
  <c r="F27" i="3"/>
  <c r="E35" i="3"/>
  <c r="CQ5" i="1"/>
  <c r="DD5" i="1"/>
  <c r="CW5" i="1"/>
  <c r="CX5" i="1"/>
  <c r="CZ5" i="1"/>
  <c r="CY5" i="1"/>
  <c r="CU5" i="1"/>
  <c r="CV5" i="1"/>
  <c r="DB5" i="1"/>
  <c r="CT5" i="1"/>
  <c r="CS5" i="1"/>
  <c r="DA5" i="1"/>
  <c r="DC5" i="1"/>
  <c r="CR5" i="1"/>
  <c r="F28" i="3" l="1"/>
  <c r="C29" i="3"/>
  <c r="E36" i="3"/>
  <c r="DG5" i="1" a="1"/>
  <c r="DG5" i="1" s="1"/>
  <c r="DF5" i="1" a="1"/>
  <c r="DF5" i="1" s="1"/>
  <c r="DS5" i="1" l="1"/>
  <c r="F29" i="3"/>
  <c r="C30" i="3"/>
  <c r="E37" i="3"/>
  <c r="DJ5" i="1"/>
  <c r="DK5" i="1"/>
  <c r="C31" i="3" l="1"/>
  <c r="F30" i="3"/>
  <c r="E38" i="3"/>
  <c r="DI5" i="1"/>
  <c r="DH6" i="1" a="1"/>
  <c r="DH6" i="1" s="1"/>
  <c r="DH7" i="1" a="1"/>
  <c r="DH7" i="1" s="1"/>
  <c r="DH8" i="1" a="1"/>
  <c r="DH8" i="1" s="1"/>
  <c r="DH9" i="1" a="1"/>
  <c r="DH9" i="1" s="1"/>
  <c r="DH10" i="1" a="1"/>
  <c r="DH10" i="1" s="1"/>
  <c r="DH11" i="1" a="1"/>
  <c r="DH11" i="1" s="1"/>
  <c r="DH12" i="1" a="1"/>
  <c r="DH12" i="1" s="1"/>
  <c r="DH185" i="1" a="1"/>
  <c r="DH185" i="1" s="1"/>
  <c r="DH14" i="1" a="1"/>
  <c r="DH14" i="1" s="1"/>
  <c r="DH15" i="1" a="1"/>
  <c r="DH15" i="1" s="1"/>
  <c r="DH16" i="1" a="1"/>
  <c r="DH16" i="1" s="1"/>
  <c r="DH17" i="1" a="1"/>
  <c r="DH17" i="1" s="1"/>
  <c r="DH89" i="1" a="1"/>
  <c r="DH89" i="1" s="1"/>
  <c r="DH19" i="1" a="1"/>
  <c r="DH19" i="1" s="1"/>
  <c r="DH20" i="1" a="1"/>
  <c r="DH20" i="1" s="1"/>
  <c r="DH21" i="1" a="1"/>
  <c r="DH21" i="1" s="1"/>
  <c r="DH22" i="1" a="1"/>
  <c r="DH22" i="1" s="1"/>
  <c r="DH23" i="1" a="1"/>
  <c r="DH23" i="1" s="1"/>
  <c r="DH24" i="1" a="1"/>
  <c r="DH24" i="1" s="1"/>
  <c r="DH25" i="1" a="1"/>
  <c r="DH25" i="1" s="1"/>
  <c r="DH26" i="1" a="1"/>
  <c r="DH26" i="1" s="1"/>
  <c r="DH27" i="1" a="1"/>
  <c r="DH27" i="1" s="1"/>
  <c r="DH28" i="1" a="1"/>
  <c r="DH28" i="1" s="1"/>
  <c r="DH29" i="1" a="1"/>
  <c r="DH29" i="1" s="1"/>
  <c r="DH30" i="1" a="1"/>
  <c r="DH30" i="1" s="1"/>
  <c r="DH31" i="1" a="1"/>
  <c r="DH31" i="1" s="1"/>
  <c r="DH32" i="1" a="1"/>
  <c r="DH32" i="1" s="1"/>
  <c r="DH33" i="1" a="1"/>
  <c r="DH33" i="1" s="1"/>
  <c r="DH208" i="1" a="1"/>
  <c r="DH208" i="1" s="1"/>
  <c r="DH35" i="1" a="1"/>
  <c r="DH35" i="1" s="1"/>
  <c r="DH36" i="1" a="1"/>
  <c r="DH36" i="1" s="1"/>
  <c r="DH37" i="1" a="1"/>
  <c r="DH37" i="1" s="1"/>
  <c r="DH38" i="1" a="1"/>
  <c r="DH38" i="1" s="1"/>
  <c r="DH39" i="1" a="1"/>
  <c r="DH39" i="1" s="1"/>
  <c r="DH40" i="1" a="1"/>
  <c r="DH40" i="1" s="1"/>
  <c r="DH41" i="1" a="1"/>
  <c r="DH41" i="1" s="1"/>
  <c r="DH42" i="1" a="1"/>
  <c r="DH42" i="1" s="1"/>
  <c r="DH43" i="1" a="1"/>
  <c r="DH43" i="1" s="1"/>
  <c r="DH44" i="1" a="1"/>
  <c r="DH44" i="1" s="1"/>
  <c r="DH45" i="1" a="1"/>
  <c r="DH45" i="1" s="1"/>
  <c r="DH46" i="1" a="1"/>
  <c r="DH46" i="1" s="1"/>
  <c r="DH47" i="1" a="1"/>
  <c r="DH47" i="1" s="1"/>
  <c r="DH48" i="1" a="1"/>
  <c r="DH48" i="1" s="1"/>
  <c r="DH49" i="1" a="1"/>
  <c r="DH49" i="1" s="1"/>
  <c r="DH50" i="1" a="1"/>
  <c r="DH50" i="1" s="1"/>
  <c r="DH51" i="1" a="1"/>
  <c r="DH51" i="1" s="1"/>
  <c r="DH52" i="1" a="1"/>
  <c r="DH52" i="1" s="1"/>
  <c r="DH53" i="1" a="1"/>
  <c r="DH53" i="1" s="1"/>
  <c r="DH54" i="1" a="1"/>
  <c r="DH54" i="1" s="1"/>
  <c r="DH55" i="1" a="1"/>
  <c r="DH55" i="1" s="1"/>
  <c r="DH56" i="1" a="1"/>
  <c r="DH56" i="1" s="1"/>
  <c r="DH57" i="1" a="1"/>
  <c r="DH57" i="1" s="1"/>
  <c r="DH58" i="1" a="1"/>
  <c r="DH58" i="1" s="1"/>
  <c r="DH59" i="1" a="1"/>
  <c r="DH59" i="1" s="1"/>
  <c r="DH60" i="1" a="1"/>
  <c r="DH60" i="1" s="1"/>
  <c r="DH61" i="1" a="1"/>
  <c r="DH61" i="1" s="1"/>
  <c r="DH62" i="1" a="1"/>
  <c r="DH62" i="1" s="1"/>
  <c r="DH63" i="1" a="1"/>
  <c r="DH63" i="1" s="1"/>
  <c r="DH126" i="1" a="1"/>
  <c r="DH126" i="1" s="1"/>
  <c r="DH65" i="1" a="1"/>
  <c r="DH65" i="1" s="1"/>
  <c r="DH120" i="1" a="1"/>
  <c r="DH120" i="1" s="1"/>
  <c r="DH67" i="1" a="1"/>
  <c r="DH67" i="1" s="1"/>
  <c r="DH68" i="1" a="1"/>
  <c r="DH68" i="1" s="1"/>
  <c r="DH183" i="1" a="1"/>
  <c r="DH183" i="1" s="1"/>
  <c r="DH70" i="1" a="1"/>
  <c r="DH70" i="1" s="1"/>
  <c r="DH71" i="1" a="1"/>
  <c r="DH71" i="1" s="1"/>
  <c r="DH72" i="1" a="1"/>
  <c r="DH72" i="1" s="1"/>
  <c r="DH73" i="1" a="1"/>
  <c r="DH73" i="1" s="1"/>
  <c r="DH74" i="1" a="1"/>
  <c r="DH74" i="1" s="1"/>
  <c r="DH75" i="1" a="1"/>
  <c r="DH75" i="1" s="1"/>
  <c r="DH76" i="1" a="1"/>
  <c r="DH76" i="1" s="1"/>
  <c r="DH77" i="1" a="1"/>
  <c r="DH77" i="1" s="1"/>
  <c r="DH78" i="1" a="1"/>
  <c r="DH78" i="1" s="1"/>
  <c r="DH79" i="1" a="1"/>
  <c r="DH79" i="1" s="1"/>
  <c r="DH80" i="1" a="1"/>
  <c r="DH80" i="1" s="1"/>
  <c r="DH81" i="1" a="1"/>
  <c r="DH81" i="1" s="1"/>
  <c r="DH82" i="1" a="1"/>
  <c r="DH82" i="1" s="1"/>
  <c r="DH83" i="1" a="1"/>
  <c r="DH83" i="1" s="1"/>
  <c r="DH84" i="1" a="1"/>
  <c r="DH84" i="1" s="1"/>
  <c r="DH85" i="1" a="1"/>
  <c r="DH85" i="1" s="1"/>
  <c r="DH86" i="1" a="1"/>
  <c r="DH86" i="1" s="1"/>
  <c r="DH87" i="1" a="1"/>
  <c r="DH87" i="1" s="1"/>
  <c r="DH123" i="1" a="1"/>
  <c r="DH123" i="1" s="1"/>
  <c r="DH162" i="1" a="1"/>
  <c r="DH162" i="1" s="1"/>
  <c r="DH90" i="1" a="1"/>
  <c r="DH90" i="1" s="1"/>
  <c r="DH92" i="1" a="1"/>
  <c r="DH92" i="1" s="1"/>
  <c r="DH93" i="1" a="1"/>
  <c r="DH93" i="1" s="1"/>
  <c r="DH94" i="1" a="1"/>
  <c r="DH94" i="1" s="1"/>
  <c r="DH95" i="1" a="1"/>
  <c r="DH95" i="1" s="1"/>
  <c r="DH96" i="1" a="1"/>
  <c r="DH96" i="1" s="1"/>
  <c r="DH97" i="1" a="1"/>
  <c r="DH97" i="1" s="1"/>
  <c r="DH98" i="1" a="1"/>
  <c r="DH98" i="1" s="1"/>
  <c r="DH99" i="1" a="1"/>
  <c r="DH99" i="1" s="1"/>
  <c r="DH100" i="1" a="1"/>
  <c r="DH100" i="1" s="1"/>
  <c r="DH101" i="1" a="1"/>
  <c r="DH101" i="1" s="1"/>
  <c r="DH102" i="1" a="1"/>
  <c r="DH102" i="1" s="1"/>
  <c r="DH103" i="1" a="1"/>
  <c r="DH103" i="1" s="1"/>
  <c r="DH104" i="1" a="1"/>
  <c r="DH104" i="1" s="1"/>
  <c r="DH105" i="1" a="1"/>
  <c r="DH105" i="1" s="1"/>
  <c r="DH106" i="1" a="1"/>
  <c r="DH106" i="1" s="1"/>
  <c r="DH107" i="1" a="1"/>
  <c r="DH107" i="1" s="1"/>
  <c r="DH108" i="1" a="1"/>
  <c r="DH108" i="1" s="1"/>
  <c r="DH109" i="1" a="1"/>
  <c r="DH109" i="1" s="1"/>
  <c r="DH110" i="1" a="1"/>
  <c r="DH110" i="1" s="1"/>
  <c r="DH111" i="1" a="1"/>
  <c r="DH111" i="1" s="1"/>
  <c r="DH112" i="1" a="1"/>
  <c r="DH112" i="1" s="1"/>
  <c r="DH88" i="1" a="1"/>
  <c r="DH88" i="1" s="1"/>
  <c r="DH114" i="1" a="1"/>
  <c r="DH114" i="1" s="1"/>
  <c r="DH115" i="1" a="1"/>
  <c r="DH115" i="1" s="1"/>
  <c r="DH116" i="1" a="1"/>
  <c r="DH116" i="1" s="1"/>
  <c r="DH117" i="1" a="1"/>
  <c r="DH117" i="1" s="1"/>
  <c r="DH118" i="1" a="1"/>
  <c r="DH118" i="1" s="1"/>
  <c r="DH66" i="1" a="1"/>
  <c r="DH66" i="1" s="1"/>
  <c r="DH69" i="1" a="1"/>
  <c r="DH69" i="1" s="1"/>
  <c r="DH121" i="1" a="1"/>
  <c r="DH121" i="1" s="1"/>
  <c r="DH122" i="1" a="1"/>
  <c r="DH122" i="1" s="1"/>
  <c r="DH152" i="1" a="1"/>
  <c r="DH152" i="1" s="1"/>
  <c r="DH124" i="1" a="1"/>
  <c r="DH124" i="1" s="1"/>
  <c r="DH125" i="1" a="1"/>
  <c r="DH125" i="1" s="1"/>
  <c r="DH13" i="1" a="1"/>
  <c r="DH13" i="1" s="1"/>
  <c r="DH127" i="1" a="1"/>
  <c r="DH127" i="1" s="1"/>
  <c r="DH128" i="1" a="1"/>
  <c r="DH128" i="1" s="1"/>
  <c r="DH129" i="1" a="1"/>
  <c r="DH129" i="1" s="1"/>
  <c r="DH130" i="1" a="1"/>
  <c r="DH130" i="1" s="1"/>
  <c r="DH131" i="1" a="1"/>
  <c r="DH131" i="1" s="1"/>
  <c r="DH132" i="1" a="1"/>
  <c r="DH132" i="1" s="1"/>
  <c r="DH133" i="1" a="1"/>
  <c r="DH133" i="1" s="1"/>
  <c r="DH134" i="1" a="1"/>
  <c r="DH134" i="1" s="1"/>
  <c r="DH135" i="1" a="1"/>
  <c r="DH135" i="1" s="1"/>
  <c r="DH136" i="1" a="1"/>
  <c r="DH136" i="1" s="1"/>
  <c r="DH137" i="1" a="1"/>
  <c r="DH137" i="1" s="1"/>
  <c r="DH138" i="1" a="1"/>
  <c r="DH138" i="1" s="1"/>
  <c r="DH139" i="1" a="1"/>
  <c r="DH139" i="1" s="1"/>
  <c r="DH140" i="1" a="1"/>
  <c r="DH140" i="1" s="1"/>
  <c r="DH141" i="1" a="1"/>
  <c r="DH141" i="1" s="1"/>
  <c r="DH142" i="1" a="1"/>
  <c r="DH142" i="1" s="1"/>
  <c r="DH143" i="1" a="1"/>
  <c r="DH143" i="1" s="1"/>
  <c r="DH144" i="1" a="1"/>
  <c r="DH144" i="1" s="1"/>
  <c r="DH145" i="1" a="1"/>
  <c r="DH145" i="1" s="1"/>
  <c r="DH146" i="1" a="1"/>
  <c r="DH146" i="1" s="1"/>
  <c r="DH147" i="1" a="1"/>
  <c r="DH147" i="1" s="1"/>
  <c r="DH148" i="1" a="1"/>
  <c r="DH148" i="1" s="1"/>
  <c r="DH149" i="1" a="1"/>
  <c r="DH149" i="1" s="1"/>
  <c r="DH150" i="1" a="1"/>
  <c r="DH150" i="1" s="1"/>
  <c r="DH151" i="1" a="1"/>
  <c r="DH151" i="1" s="1"/>
  <c r="DH119" i="1" a="1"/>
  <c r="DH119" i="1" s="1"/>
  <c r="DH153" i="1" a="1"/>
  <c r="DH153" i="1" s="1"/>
  <c r="DH91" i="1" a="1"/>
  <c r="DH91" i="1" s="1"/>
  <c r="DH155" i="1" a="1"/>
  <c r="DH155" i="1" s="1"/>
  <c r="DH156" i="1" a="1"/>
  <c r="DH156" i="1" s="1"/>
  <c r="DH157" i="1" a="1"/>
  <c r="DH157" i="1" s="1"/>
  <c r="DH158" i="1" a="1"/>
  <c r="DH158" i="1" s="1"/>
  <c r="DH159" i="1" a="1"/>
  <c r="DH159" i="1" s="1"/>
  <c r="DH160" i="1" a="1"/>
  <c r="DH160" i="1" s="1"/>
  <c r="DH161" i="1" a="1"/>
  <c r="DH161" i="1" s="1"/>
  <c r="DH64" i="1" a="1"/>
  <c r="DH64" i="1" s="1"/>
  <c r="DH163" i="1" a="1"/>
  <c r="DH163" i="1" s="1"/>
  <c r="DH164" i="1" a="1"/>
  <c r="DH164" i="1" s="1"/>
  <c r="DH165" i="1" a="1"/>
  <c r="DH165" i="1" s="1"/>
  <c r="DH166" i="1" a="1"/>
  <c r="DH166" i="1" s="1"/>
  <c r="DH167" i="1" a="1"/>
  <c r="DH167" i="1" s="1"/>
  <c r="DH168" i="1" a="1"/>
  <c r="DH168" i="1" s="1"/>
  <c r="DH169" i="1" a="1"/>
  <c r="DH169" i="1" s="1"/>
  <c r="DH170" i="1" a="1"/>
  <c r="DH170" i="1" s="1"/>
  <c r="DH171" i="1" a="1"/>
  <c r="DH171" i="1" s="1"/>
  <c r="DH172" i="1" a="1"/>
  <c r="DH172" i="1" s="1"/>
  <c r="DH173" i="1" a="1"/>
  <c r="DH173" i="1" s="1"/>
  <c r="DH174" i="1" a="1"/>
  <c r="DH174" i="1" s="1"/>
  <c r="DH175" i="1" a="1"/>
  <c r="DH175" i="1" s="1"/>
  <c r="DH176" i="1" a="1"/>
  <c r="DH176" i="1" s="1"/>
  <c r="DH177" i="1" a="1"/>
  <c r="DH177" i="1" s="1"/>
  <c r="DH178" i="1" a="1"/>
  <c r="DH178" i="1" s="1"/>
  <c r="DH154" i="1" a="1"/>
  <c r="DH154" i="1" s="1"/>
  <c r="DH180" i="1" a="1"/>
  <c r="DH180" i="1" s="1"/>
  <c r="DH181" i="1" a="1"/>
  <c r="DH181" i="1" s="1"/>
  <c r="DH182" i="1" a="1"/>
  <c r="DH182" i="1" s="1"/>
  <c r="DH190" i="1" a="1"/>
  <c r="DH190" i="1" s="1"/>
  <c r="DH184" i="1" a="1"/>
  <c r="DH184" i="1" s="1"/>
  <c r="DH18" i="1" a="1"/>
  <c r="DH18" i="1" s="1"/>
  <c r="DH186" i="1" a="1"/>
  <c r="DH186" i="1" s="1"/>
  <c r="DH187" i="1" a="1"/>
  <c r="DH187" i="1" s="1"/>
  <c r="DH188" i="1" a="1"/>
  <c r="DH188" i="1" s="1"/>
  <c r="DH189" i="1" a="1"/>
  <c r="DH189" i="1" s="1"/>
  <c r="DH34" i="1" a="1"/>
  <c r="DH34" i="1" s="1"/>
  <c r="DH191" i="1" a="1"/>
  <c r="DH191" i="1" s="1"/>
  <c r="DH192" i="1" a="1"/>
  <c r="DH192" i="1" s="1"/>
  <c r="DH193" i="1" a="1"/>
  <c r="DH193" i="1" s="1"/>
  <c r="DH194" i="1" a="1"/>
  <c r="DH194" i="1" s="1"/>
  <c r="DH195" i="1" a="1"/>
  <c r="DH195" i="1" s="1"/>
  <c r="DH196" i="1" a="1"/>
  <c r="DH196" i="1" s="1"/>
  <c r="DH197" i="1" a="1"/>
  <c r="DH197" i="1" s="1"/>
  <c r="DH198" i="1" a="1"/>
  <c r="DH198" i="1" s="1"/>
  <c r="DH199" i="1" a="1"/>
  <c r="DH199" i="1" s="1"/>
  <c r="DH200" i="1" a="1"/>
  <c r="DH200" i="1" s="1"/>
  <c r="DH254" i="1" a="1"/>
  <c r="DH254" i="1" s="1"/>
  <c r="DH202" i="1" a="1"/>
  <c r="DH202" i="1" s="1"/>
  <c r="DH203" i="1" a="1"/>
  <c r="DH203" i="1" s="1"/>
  <c r="DH204" i="1" a="1"/>
  <c r="DH204" i="1" s="1"/>
  <c r="DH205" i="1" a="1"/>
  <c r="DH205" i="1" s="1"/>
  <c r="DH206" i="1" a="1"/>
  <c r="DH206" i="1" s="1"/>
  <c r="DH207" i="1" a="1"/>
  <c r="DH207" i="1" s="1"/>
  <c r="DH113" i="1" a="1"/>
  <c r="DH113" i="1" s="1"/>
  <c r="DH209" i="1" a="1"/>
  <c r="DH209" i="1" s="1"/>
  <c r="DH210" i="1" a="1"/>
  <c r="DH210" i="1" s="1"/>
  <c r="DH211" i="1" a="1"/>
  <c r="DH211" i="1" s="1"/>
  <c r="DH212" i="1" a="1"/>
  <c r="DH212" i="1" s="1"/>
  <c r="DH213" i="1" a="1"/>
  <c r="DH213" i="1" s="1"/>
  <c r="DH214" i="1" a="1"/>
  <c r="DH214" i="1" s="1"/>
  <c r="DH215" i="1" a="1"/>
  <c r="DH215" i="1" s="1"/>
  <c r="DH216" i="1" a="1"/>
  <c r="DH216" i="1" s="1"/>
  <c r="DH217" i="1" a="1"/>
  <c r="DH217" i="1" s="1"/>
  <c r="DH218" i="1" a="1"/>
  <c r="DH218" i="1" s="1"/>
  <c r="DH219" i="1" a="1"/>
  <c r="DH219" i="1" s="1"/>
  <c r="DH220" i="1" a="1"/>
  <c r="DH220" i="1" s="1"/>
  <c r="DH221" i="1" a="1"/>
  <c r="DH221" i="1" s="1"/>
  <c r="DH222" i="1" a="1"/>
  <c r="DH222" i="1" s="1"/>
  <c r="DH223" i="1" a="1"/>
  <c r="DH223" i="1" s="1"/>
  <c r="DH224" i="1" a="1"/>
  <c r="DH224" i="1" s="1"/>
  <c r="DH225" i="1" a="1"/>
  <c r="DH225" i="1" s="1"/>
  <c r="DH226" i="1" a="1"/>
  <c r="DH226" i="1" s="1"/>
  <c r="DH227" i="1" a="1"/>
  <c r="DH227" i="1" s="1"/>
  <c r="DH228" i="1" a="1"/>
  <c r="DH228" i="1" s="1"/>
  <c r="DH229" i="1" a="1"/>
  <c r="DH229" i="1" s="1"/>
  <c r="DH230" i="1" a="1"/>
  <c r="DH230" i="1" s="1"/>
  <c r="DH231" i="1" a="1"/>
  <c r="DH231" i="1" s="1"/>
  <c r="DH232" i="1" a="1"/>
  <c r="DH232" i="1" s="1"/>
  <c r="DH233" i="1" a="1"/>
  <c r="DH233" i="1" s="1"/>
  <c r="DH234" i="1" a="1"/>
  <c r="DH234" i="1" s="1"/>
  <c r="DH235" i="1" a="1"/>
  <c r="DH235" i="1" s="1"/>
  <c r="DH236" i="1" a="1"/>
  <c r="DH236" i="1" s="1"/>
  <c r="DH237" i="1" a="1"/>
  <c r="DH237" i="1" s="1"/>
  <c r="DH238" i="1" a="1"/>
  <c r="DH238" i="1" s="1"/>
  <c r="DH239" i="1" a="1"/>
  <c r="DH239" i="1" s="1"/>
  <c r="DH240" i="1" a="1"/>
  <c r="DH240" i="1" s="1"/>
  <c r="DH241" i="1" a="1"/>
  <c r="DH241" i="1" s="1"/>
  <c r="DH242" i="1" a="1"/>
  <c r="DH242" i="1" s="1"/>
  <c r="DH243" i="1" a="1"/>
  <c r="DH243" i="1" s="1"/>
  <c r="DH244" i="1" a="1"/>
  <c r="DH244" i="1" s="1"/>
  <c r="DH245" i="1" a="1"/>
  <c r="DH245" i="1" s="1"/>
  <c r="DH246" i="1" a="1"/>
  <c r="DH246" i="1" s="1"/>
  <c r="DH247" i="1" a="1"/>
  <c r="DH247" i="1" s="1"/>
  <c r="DH248" i="1" a="1"/>
  <c r="DH248" i="1" s="1"/>
  <c r="DH249" i="1" a="1"/>
  <c r="DH249" i="1" s="1"/>
  <c r="DH250" i="1" a="1"/>
  <c r="DH250" i="1" s="1"/>
  <c r="DH251" i="1" a="1"/>
  <c r="DH251" i="1" s="1"/>
  <c r="DH252" i="1" a="1"/>
  <c r="DH252" i="1" s="1"/>
  <c r="DH253" i="1" a="1"/>
  <c r="DH253" i="1" s="1"/>
  <c r="DH201" i="1" a="1"/>
  <c r="DH201" i="1" s="1"/>
  <c r="DH255" i="1" a="1"/>
  <c r="DH255" i="1" s="1"/>
  <c r="DH256" i="1" a="1"/>
  <c r="DH256" i="1" s="1"/>
  <c r="DH257" i="1" a="1"/>
  <c r="DH257" i="1" s="1"/>
  <c r="DH258" i="1" a="1"/>
  <c r="DH258" i="1" s="1"/>
  <c r="DH259" i="1" a="1"/>
  <c r="DH259" i="1" s="1"/>
  <c r="DH260" i="1" a="1"/>
  <c r="DH260" i="1" s="1"/>
  <c r="DH261" i="1" a="1"/>
  <c r="DH261" i="1" s="1"/>
  <c r="DH262" i="1" a="1"/>
  <c r="DH262" i="1" s="1"/>
  <c r="DH263" i="1" a="1"/>
  <c r="DH263" i="1" s="1"/>
  <c r="DH264" i="1" a="1"/>
  <c r="DH264" i="1" s="1"/>
  <c r="DH265" i="1" a="1"/>
  <c r="DH265" i="1" s="1"/>
  <c r="DH266" i="1" a="1"/>
  <c r="DH266" i="1" s="1"/>
  <c r="DH267" i="1" a="1"/>
  <c r="DH267" i="1" s="1"/>
  <c r="DH268" i="1" a="1"/>
  <c r="DH268" i="1" s="1"/>
  <c r="DH269" i="1" a="1"/>
  <c r="DH269" i="1" s="1"/>
  <c r="DH270" i="1" a="1"/>
  <c r="DH270" i="1" s="1"/>
  <c r="C32" i="3" l="1"/>
  <c r="F31" i="3"/>
  <c r="E39" i="3"/>
  <c r="BG22" i="1" a="1"/>
  <c r="BG22" i="1" s="1"/>
  <c r="BG23" i="1" a="1"/>
  <c r="BG23" i="1" s="1"/>
  <c r="BG24" i="1" a="1"/>
  <c r="BG24" i="1" s="1"/>
  <c r="BG25" i="1" a="1"/>
  <c r="BG25" i="1" s="1"/>
  <c r="BG26" i="1" a="1"/>
  <c r="BG26" i="1" s="1"/>
  <c r="BG27" i="1" a="1"/>
  <c r="BG27" i="1" s="1"/>
  <c r="BG28" i="1" a="1"/>
  <c r="BG28" i="1" s="1"/>
  <c r="BG29" i="1" a="1"/>
  <c r="BG29" i="1" s="1"/>
  <c r="BG30" i="1" a="1"/>
  <c r="BG30" i="1" s="1"/>
  <c r="BG31" i="1" a="1"/>
  <c r="BG31" i="1" s="1"/>
  <c r="BG32" i="1" a="1"/>
  <c r="BG32" i="1" s="1"/>
  <c r="BG33" i="1" a="1"/>
  <c r="BG33" i="1" s="1"/>
  <c r="BG35" i="1" a="1"/>
  <c r="BG35" i="1" s="1"/>
  <c r="BG36" i="1" a="1"/>
  <c r="BG36" i="1" s="1"/>
  <c r="BG37" i="1" a="1"/>
  <c r="BG37" i="1" s="1"/>
  <c r="BG38" i="1" a="1"/>
  <c r="BG38" i="1" s="1"/>
  <c r="BG39" i="1" a="1"/>
  <c r="BG39" i="1" s="1"/>
  <c r="BG40" i="1" a="1"/>
  <c r="BG40" i="1" s="1"/>
  <c r="BG41" i="1" a="1"/>
  <c r="BG41" i="1" s="1"/>
  <c r="BG42" i="1" a="1"/>
  <c r="BG42" i="1" s="1"/>
  <c r="BG43" i="1" a="1"/>
  <c r="BG43" i="1" s="1"/>
  <c r="BG44" i="1" a="1"/>
  <c r="BG44" i="1" s="1"/>
  <c r="BG45" i="1" a="1"/>
  <c r="BG45" i="1" s="1"/>
  <c r="BG46" i="1" a="1"/>
  <c r="BG46" i="1" s="1"/>
  <c r="BG47" i="1" a="1"/>
  <c r="BG47" i="1" s="1"/>
  <c r="BG48" i="1" a="1"/>
  <c r="BG48" i="1" s="1"/>
  <c r="BG49" i="1" a="1"/>
  <c r="BG49" i="1" s="1"/>
  <c r="BG50" i="1" a="1"/>
  <c r="BG50" i="1" s="1"/>
  <c r="BG51" i="1" a="1"/>
  <c r="BG51" i="1" s="1"/>
  <c r="BG52" i="1" a="1"/>
  <c r="BG52" i="1" s="1"/>
  <c r="BG53" i="1" a="1"/>
  <c r="BG53" i="1" s="1"/>
  <c r="BG55" i="1" a="1"/>
  <c r="BG55" i="1" s="1"/>
  <c r="BG56" i="1" a="1"/>
  <c r="BG56" i="1" s="1"/>
  <c r="BG57" i="1" a="1"/>
  <c r="BG57" i="1" s="1"/>
  <c r="BG58" i="1" a="1"/>
  <c r="BG58" i="1" s="1"/>
  <c r="BG59" i="1" a="1"/>
  <c r="BG59" i="1" s="1"/>
  <c r="BG60" i="1" a="1"/>
  <c r="BG60" i="1" s="1"/>
  <c r="BG61" i="1" a="1"/>
  <c r="BG61" i="1" s="1"/>
  <c r="BG62" i="1" a="1"/>
  <c r="BG62" i="1" s="1"/>
  <c r="BG63" i="1" a="1"/>
  <c r="BG63" i="1" s="1"/>
  <c r="BG126" i="1" a="1"/>
  <c r="BG126" i="1" s="1"/>
  <c r="BG65" i="1" a="1"/>
  <c r="BG65" i="1" s="1"/>
  <c r="BG67" i="1" a="1"/>
  <c r="BG67" i="1" s="1"/>
  <c r="BG68" i="1" a="1"/>
  <c r="BG68" i="1" s="1"/>
  <c r="BG183" i="1" a="1"/>
  <c r="BG183" i="1" s="1"/>
  <c r="BG70" i="1" a="1"/>
  <c r="BG70" i="1" s="1"/>
  <c r="BG71" i="1" a="1"/>
  <c r="BG71" i="1" s="1"/>
  <c r="BG72" i="1" a="1"/>
  <c r="BG72" i="1" s="1"/>
  <c r="BG73" i="1" a="1"/>
  <c r="BG73" i="1" s="1"/>
  <c r="BG74" i="1" a="1"/>
  <c r="BG74" i="1" s="1"/>
  <c r="BG75" i="1" a="1"/>
  <c r="BG75" i="1" s="1"/>
  <c r="BG76" i="1" a="1"/>
  <c r="BG76" i="1" s="1"/>
  <c r="BG77" i="1" a="1"/>
  <c r="BG77" i="1" s="1"/>
  <c r="BG78" i="1" a="1"/>
  <c r="BG78" i="1" s="1"/>
  <c r="BG79" i="1" a="1"/>
  <c r="BG79" i="1" s="1"/>
  <c r="BG80" i="1" a="1"/>
  <c r="BG80" i="1" s="1"/>
  <c r="BG81" i="1" a="1"/>
  <c r="BG81" i="1" s="1"/>
  <c r="BG82" i="1" a="1"/>
  <c r="BG82" i="1" s="1"/>
  <c r="BG83" i="1" a="1"/>
  <c r="BG83" i="1" s="1"/>
  <c r="BG84" i="1" a="1"/>
  <c r="BG84" i="1" s="1"/>
  <c r="BG85" i="1" a="1"/>
  <c r="BG85" i="1" s="1"/>
  <c r="BG86" i="1" a="1"/>
  <c r="BG86" i="1" s="1"/>
  <c r="BG87" i="1" a="1"/>
  <c r="BG87" i="1" s="1"/>
  <c r="BG123" i="1" a="1"/>
  <c r="BG123" i="1" s="1"/>
  <c r="BG162" i="1" a="1"/>
  <c r="BG162" i="1" s="1"/>
  <c r="BG90" i="1" a="1"/>
  <c r="BG90" i="1" s="1"/>
  <c r="BG92" i="1" a="1"/>
  <c r="BG92" i="1" s="1"/>
  <c r="BG93" i="1" a="1"/>
  <c r="BG93" i="1" s="1"/>
  <c r="BG94" i="1" a="1"/>
  <c r="BG94" i="1" s="1"/>
  <c r="BG95" i="1" a="1"/>
  <c r="BG95" i="1" s="1"/>
  <c r="BG96" i="1" a="1"/>
  <c r="BG96" i="1" s="1"/>
  <c r="BG97" i="1" a="1"/>
  <c r="BG97" i="1" s="1"/>
  <c r="BG98" i="1" a="1"/>
  <c r="BG98" i="1" s="1"/>
  <c r="BG99" i="1" a="1"/>
  <c r="BG99" i="1" s="1"/>
  <c r="BG100" i="1" a="1"/>
  <c r="BG100" i="1" s="1"/>
  <c r="BG101" i="1" a="1"/>
  <c r="BG101" i="1" s="1"/>
  <c r="BG102" i="1" a="1"/>
  <c r="BG102" i="1" s="1"/>
  <c r="BG103" i="1" a="1"/>
  <c r="BG103" i="1" s="1"/>
  <c r="BG104" i="1" a="1"/>
  <c r="BG104" i="1" s="1"/>
  <c r="BG105" i="1" a="1"/>
  <c r="BG105" i="1" s="1"/>
  <c r="BG106" i="1" a="1"/>
  <c r="BG106" i="1" s="1"/>
  <c r="BG107" i="1" a="1"/>
  <c r="BG107" i="1" s="1"/>
  <c r="BG108" i="1" a="1"/>
  <c r="BG108" i="1" s="1"/>
  <c r="BG109" i="1" a="1"/>
  <c r="BG109" i="1" s="1"/>
  <c r="BG110" i="1" a="1"/>
  <c r="BG110" i="1" s="1"/>
  <c r="BG111" i="1" a="1"/>
  <c r="BG111" i="1" s="1"/>
  <c r="BG88" i="1" a="1"/>
  <c r="BG88" i="1" s="1"/>
  <c r="BG114" i="1" a="1"/>
  <c r="BG114" i="1" s="1"/>
  <c r="BG115" i="1" a="1"/>
  <c r="BG115" i="1" s="1"/>
  <c r="BG116" i="1" a="1"/>
  <c r="BG116" i="1" s="1"/>
  <c r="BG117" i="1" a="1"/>
  <c r="BG117" i="1" s="1"/>
  <c r="BG118" i="1" a="1"/>
  <c r="BG118" i="1" s="1"/>
  <c r="BG66" i="1" a="1"/>
  <c r="BG66" i="1" s="1"/>
  <c r="BR69" i="1"/>
  <c r="BG121" i="1" a="1"/>
  <c r="BG121" i="1" s="1"/>
  <c r="BG122" i="1" a="1"/>
  <c r="BG122" i="1" s="1"/>
  <c r="BG152" i="1" a="1"/>
  <c r="BG152" i="1" s="1"/>
  <c r="BG124" i="1" a="1"/>
  <c r="BG124" i="1" s="1"/>
  <c r="BG125" i="1" a="1"/>
  <c r="BG125" i="1" s="1"/>
  <c r="BG127" i="1" a="1"/>
  <c r="BG127" i="1" s="1"/>
  <c r="BG128" i="1" a="1"/>
  <c r="BG128" i="1" s="1"/>
  <c r="BG129" i="1" a="1"/>
  <c r="BG129" i="1" s="1"/>
  <c r="BG130" i="1" a="1"/>
  <c r="BG130" i="1" s="1"/>
  <c r="BG132" i="1" a="1"/>
  <c r="BG132" i="1" s="1"/>
  <c r="BG133" i="1" a="1"/>
  <c r="BG133" i="1" s="1"/>
  <c r="BG134" i="1" a="1"/>
  <c r="BG134" i="1" s="1"/>
  <c r="BG135" i="1" a="1"/>
  <c r="BG135" i="1" s="1"/>
  <c r="BG136" i="1" a="1"/>
  <c r="BG136" i="1" s="1"/>
  <c r="BG137" i="1" a="1"/>
  <c r="BG137" i="1" s="1"/>
  <c r="BG138" i="1" a="1"/>
  <c r="BG138" i="1" s="1"/>
  <c r="BG139" i="1" a="1"/>
  <c r="BG139" i="1" s="1"/>
  <c r="BG140" i="1" a="1"/>
  <c r="BG140" i="1" s="1"/>
  <c r="BG141" i="1" a="1"/>
  <c r="BG141" i="1" s="1"/>
  <c r="BG142" i="1" a="1"/>
  <c r="BG142" i="1" s="1"/>
  <c r="BG143" i="1" a="1"/>
  <c r="BG143" i="1" s="1"/>
  <c r="BG144" i="1" a="1"/>
  <c r="BG144" i="1" s="1"/>
  <c r="BG145" i="1" a="1"/>
  <c r="BG145" i="1" s="1"/>
  <c r="BG146" i="1" a="1"/>
  <c r="BG146" i="1" s="1"/>
  <c r="BG147" i="1" a="1"/>
  <c r="BG147" i="1" s="1"/>
  <c r="BG148" i="1" a="1"/>
  <c r="BG148" i="1" s="1"/>
  <c r="BG149" i="1" a="1"/>
  <c r="BG149" i="1" s="1"/>
  <c r="BG150" i="1" a="1"/>
  <c r="BG150" i="1" s="1"/>
  <c r="BG151" i="1" a="1"/>
  <c r="BG151" i="1" s="1"/>
  <c r="BG119" i="1" a="1"/>
  <c r="BG119" i="1" s="1"/>
  <c r="BG153" i="1" a="1"/>
  <c r="BG153" i="1" s="1"/>
  <c r="BG91" i="1" a="1"/>
  <c r="BG91" i="1" s="1"/>
  <c r="BG155" i="1" a="1"/>
  <c r="BG155" i="1" s="1"/>
  <c r="BG156" i="1" a="1"/>
  <c r="BG156" i="1" s="1"/>
  <c r="BG157" i="1" a="1"/>
  <c r="BG157" i="1" s="1"/>
  <c r="BG158" i="1" a="1"/>
  <c r="BG158" i="1" s="1"/>
  <c r="BG159" i="1" a="1"/>
  <c r="BG159" i="1" s="1"/>
  <c r="BG160" i="1" a="1"/>
  <c r="BG160" i="1" s="1"/>
  <c r="BG161" i="1" a="1"/>
  <c r="BG161" i="1" s="1"/>
  <c r="BG163" i="1" a="1"/>
  <c r="BG163" i="1" s="1"/>
  <c r="BG164" i="1" a="1"/>
  <c r="BG164" i="1" s="1"/>
  <c r="BG165" i="1" a="1"/>
  <c r="BG165" i="1" s="1"/>
  <c r="BG166" i="1" a="1"/>
  <c r="BG166" i="1" s="1"/>
  <c r="BG167" i="1" a="1"/>
  <c r="BG167" i="1" s="1"/>
  <c r="BG168" i="1" a="1"/>
  <c r="BG168" i="1" s="1"/>
  <c r="BG169" i="1" a="1"/>
  <c r="BG169" i="1" s="1"/>
  <c r="BG170" i="1" a="1"/>
  <c r="BG170" i="1" s="1"/>
  <c r="BG171" i="1" a="1"/>
  <c r="BG171" i="1" s="1"/>
  <c r="BG172" i="1" a="1"/>
  <c r="BG172" i="1" s="1"/>
  <c r="BG173" i="1" a="1"/>
  <c r="BG173" i="1" s="1"/>
  <c r="BG174" i="1" a="1"/>
  <c r="BG174" i="1" s="1"/>
  <c r="BG175" i="1" a="1"/>
  <c r="BG175" i="1" s="1"/>
  <c r="BG176" i="1" a="1"/>
  <c r="BG176" i="1" s="1"/>
  <c r="BG177" i="1" a="1"/>
  <c r="BG177" i="1" s="1"/>
  <c r="BG178" i="1" a="1"/>
  <c r="BG178" i="1" s="1"/>
  <c r="EI154" i="1"/>
  <c r="BG180" i="1" a="1"/>
  <c r="BG180" i="1" s="1"/>
  <c r="BG181" i="1" a="1"/>
  <c r="BG181" i="1" s="1"/>
  <c r="BG182" i="1" a="1"/>
  <c r="BG182" i="1" s="1"/>
  <c r="BG190" i="1" a="1"/>
  <c r="BG190" i="1" s="1"/>
  <c r="BG184" i="1" a="1"/>
  <c r="BG184" i="1" s="1"/>
  <c r="BG18" i="1" a="1"/>
  <c r="BG18" i="1" s="1"/>
  <c r="BG186" i="1" a="1"/>
  <c r="BG186" i="1" s="1"/>
  <c r="BG187" i="1" a="1"/>
  <c r="BG187" i="1" s="1"/>
  <c r="BG188" i="1" a="1"/>
  <c r="BG188" i="1" s="1"/>
  <c r="BG189" i="1" a="1"/>
  <c r="BG189" i="1" s="1"/>
  <c r="BG34" i="1" a="1"/>
  <c r="BG34" i="1" s="1"/>
  <c r="BG191" i="1" a="1"/>
  <c r="BG191" i="1" s="1"/>
  <c r="BG192" i="1" a="1"/>
  <c r="BG192" i="1" s="1"/>
  <c r="BG193" i="1" a="1"/>
  <c r="BG193" i="1" s="1"/>
  <c r="BG194" i="1" a="1"/>
  <c r="BG194" i="1" s="1"/>
  <c r="BG195" i="1" a="1"/>
  <c r="BG195" i="1" s="1"/>
  <c r="BG196" i="1" a="1"/>
  <c r="BG196" i="1" s="1"/>
  <c r="BG197" i="1" a="1"/>
  <c r="BG197" i="1" s="1"/>
  <c r="BG198" i="1" a="1"/>
  <c r="BG198" i="1" s="1"/>
  <c r="BG199" i="1" a="1"/>
  <c r="BG199" i="1" s="1"/>
  <c r="BG200" i="1" a="1"/>
  <c r="BG200" i="1" s="1"/>
  <c r="BG254" i="1" a="1"/>
  <c r="BG254" i="1" s="1"/>
  <c r="BG202" i="1" a="1"/>
  <c r="BG202" i="1" s="1"/>
  <c r="BG203" i="1" a="1"/>
  <c r="BG203" i="1" s="1"/>
  <c r="BG204" i="1" a="1"/>
  <c r="BG204" i="1" s="1"/>
  <c r="BG205" i="1" a="1"/>
  <c r="BG205" i="1" s="1"/>
  <c r="BG206" i="1" a="1"/>
  <c r="BG206" i="1" s="1"/>
  <c r="BG207" i="1" a="1"/>
  <c r="BG207" i="1" s="1"/>
  <c r="BG113" i="1" a="1"/>
  <c r="BG113" i="1" s="1"/>
  <c r="BG209" i="1" a="1"/>
  <c r="BG209" i="1" s="1"/>
  <c r="BG210" i="1" a="1"/>
  <c r="BG210" i="1" s="1"/>
  <c r="BG211" i="1" a="1"/>
  <c r="BG211" i="1" s="1"/>
  <c r="BG212" i="1" a="1"/>
  <c r="BG212" i="1" s="1"/>
  <c r="BG213" i="1" a="1"/>
  <c r="BG213" i="1" s="1"/>
  <c r="BG214" i="1" a="1"/>
  <c r="BG214" i="1" s="1"/>
  <c r="BG215" i="1" a="1"/>
  <c r="BG215" i="1" s="1"/>
  <c r="BG216" i="1" a="1"/>
  <c r="BG216" i="1" s="1"/>
  <c r="BG217" i="1" a="1"/>
  <c r="BG217" i="1" s="1"/>
  <c r="BG218" i="1" a="1"/>
  <c r="BG218" i="1" s="1"/>
  <c r="BG219" i="1" a="1"/>
  <c r="BG219" i="1" s="1"/>
  <c r="BG220" i="1" a="1"/>
  <c r="BG220" i="1" s="1"/>
  <c r="BG221" i="1" a="1"/>
  <c r="BG221" i="1" s="1"/>
  <c r="BG222" i="1" a="1"/>
  <c r="BG222" i="1" s="1"/>
  <c r="BG223" i="1" a="1"/>
  <c r="BG223" i="1" s="1"/>
  <c r="BG224" i="1" a="1"/>
  <c r="BG224" i="1" s="1"/>
  <c r="BG225" i="1" a="1"/>
  <c r="BG225" i="1" s="1"/>
  <c r="BG226" i="1" a="1"/>
  <c r="BG226" i="1" s="1"/>
  <c r="BG227" i="1" a="1"/>
  <c r="BG227" i="1" s="1"/>
  <c r="BG228" i="1" a="1"/>
  <c r="BG228" i="1" s="1"/>
  <c r="BG229" i="1" a="1"/>
  <c r="BG229" i="1" s="1"/>
  <c r="BG230" i="1" a="1"/>
  <c r="BG230" i="1" s="1"/>
  <c r="BG231" i="1" a="1"/>
  <c r="BG231" i="1" s="1"/>
  <c r="BG232" i="1" a="1"/>
  <c r="BG232" i="1" s="1"/>
  <c r="BG233" i="1" a="1"/>
  <c r="BG233" i="1" s="1"/>
  <c r="BG234" i="1" a="1"/>
  <c r="BG234" i="1" s="1"/>
  <c r="BG236" i="1" a="1"/>
  <c r="BG236" i="1" s="1"/>
  <c r="BG238" i="1" a="1"/>
  <c r="BG238" i="1" s="1"/>
  <c r="BG239" i="1" a="1"/>
  <c r="BG239" i="1" s="1"/>
  <c r="BG240" i="1" a="1"/>
  <c r="BG240" i="1" s="1"/>
  <c r="BG241" i="1" a="1"/>
  <c r="BG241" i="1" s="1"/>
  <c r="BG242" i="1" a="1"/>
  <c r="BG242" i="1" s="1"/>
  <c r="BG243" i="1" a="1"/>
  <c r="BG243" i="1" s="1"/>
  <c r="BG245" i="1" a="1"/>
  <c r="BG245" i="1" s="1"/>
  <c r="BG246" i="1" a="1"/>
  <c r="BG246" i="1" s="1"/>
  <c r="BG247" i="1" a="1"/>
  <c r="BG247" i="1" s="1"/>
  <c r="BG248" i="1" a="1"/>
  <c r="BG248" i="1" s="1"/>
  <c r="BG249" i="1" a="1"/>
  <c r="BG249" i="1" s="1"/>
  <c r="BG250" i="1" a="1"/>
  <c r="BG250" i="1" s="1"/>
  <c r="BG251" i="1" a="1"/>
  <c r="BG251" i="1" s="1"/>
  <c r="BG252" i="1" a="1"/>
  <c r="BG252" i="1" s="1"/>
  <c r="BG253" i="1" a="1"/>
  <c r="BG253" i="1" s="1"/>
  <c r="BG201" i="1" a="1"/>
  <c r="BG201" i="1" s="1"/>
  <c r="BG255" i="1" a="1"/>
  <c r="BG255" i="1" s="1"/>
  <c r="BG256" i="1" a="1"/>
  <c r="BG256" i="1" s="1"/>
  <c r="BG257" i="1" a="1"/>
  <c r="BG257" i="1" s="1"/>
  <c r="BG258" i="1" a="1"/>
  <c r="BG258" i="1" s="1"/>
  <c r="BG259" i="1" a="1"/>
  <c r="BG259" i="1" s="1"/>
  <c r="BG260" i="1" a="1"/>
  <c r="BG260" i="1" s="1"/>
  <c r="BG261" i="1" a="1"/>
  <c r="BG261" i="1" s="1"/>
  <c r="BG262" i="1" a="1"/>
  <c r="BG262" i="1" s="1"/>
  <c r="BG263" i="1" a="1"/>
  <c r="BG263" i="1" s="1"/>
  <c r="BG264" i="1" a="1"/>
  <c r="BG264" i="1" s="1"/>
  <c r="BG265" i="1" a="1"/>
  <c r="BG265" i="1" s="1"/>
  <c r="BG266" i="1" a="1"/>
  <c r="BG266" i="1" s="1"/>
  <c r="BG267" i="1" a="1"/>
  <c r="BG267" i="1" s="1"/>
  <c r="BG268" i="1" a="1"/>
  <c r="BG268" i="1" s="1"/>
  <c r="BG269" i="1" a="1"/>
  <c r="BG269" i="1" s="1"/>
  <c r="BG270" i="1" a="1"/>
  <c r="BG270" i="1" s="1"/>
  <c r="BT265" i="1" l="1"/>
  <c r="BT261" i="1"/>
  <c r="BT257" i="1"/>
  <c r="BT253" i="1"/>
  <c r="BT249" i="1"/>
  <c r="BT245" i="1"/>
  <c r="BT240" i="1"/>
  <c r="BT234" i="1"/>
  <c r="BT230" i="1"/>
  <c r="BT226" i="1"/>
  <c r="BT222" i="1"/>
  <c r="BT218" i="1"/>
  <c r="BT214" i="1"/>
  <c r="BT210" i="1"/>
  <c r="BT206" i="1"/>
  <c r="BT202" i="1"/>
  <c r="BT198" i="1"/>
  <c r="BT194" i="1"/>
  <c r="BT34" i="1"/>
  <c r="BT186" i="1"/>
  <c r="BT182" i="1"/>
  <c r="BT178" i="1"/>
  <c r="BT174" i="1"/>
  <c r="BT170" i="1"/>
  <c r="BT166" i="1"/>
  <c r="BT161" i="1"/>
  <c r="BT157" i="1"/>
  <c r="BT153" i="1"/>
  <c r="BT149" i="1"/>
  <c r="BT145" i="1"/>
  <c r="BT141" i="1"/>
  <c r="BT137" i="1"/>
  <c r="BT133" i="1"/>
  <c r="BT128" i="1"/>
  <c r="BT115" i="1"/>
  <c r="BT110" i="1"/>
  <c r="BT106" i="1"/>
  <c r="BT102" i="1"/>
  <c r="BT98" i="1"/>
  <c r="BT94" i="1"/>
  <c r="BT162" i="1"/>
  <c r="BT85" i="1"/>
  <c r="BT81" i="1"/>
  <c r="BT77" i="1"/>
  <c r="BT73" i="1"/>
  <c r="BT183" i="1"/>
  <c r="BT126" i="1"/>
  <c r="BT60" i="1"/>
  <c r="BT56" i="1"/>
  <c r="BT51" i="1"/>
  <c r="BT47" i="1"/>
  <c r="BT43" i="1"/>
  <c r="BT39" i="1"/>
  <c r="BT35" i="1"/>
  <c r="BT30" i="1"/>
  <c r="BT26" i="1"/>
  <c r="BT22" i="1"/>
  <c r="BT268" i="1"/>
  <c r="BT264" i="1"/>
  <c r="BT260" i="1"/>
  <c r="BT256" i="1"/>
  <c r="BT252" i="1"/>
  <c r="BT248" i="1"/>
  <c r="BT243" i="1"/>
  <c r="BT239" i="1"/>
  <c r="BT233" i="1"/>
  <c r="BT229" i="1"/>
  <c r="BT225" i="1"/>
  <c r="BT221" i="1"/>
  <c r="BT217" i="1"/>
  <c r="BT213" i="1"/>
  <c r="BT209" i="1"/>
  <c r="BT205" i="1"/>
  <c r="BT254" i="1"/>
  <c r="BT197" i="1"/>
  <c r="BT193" i="1"/>
  <c r="BT189" i="1"/>
  <c r="BT181" i="1"/>
  <c r="BT177" i="1"/>
  <c r="BT173" i="1"/>
  <c r="BT169" i="1"/>
  <c r="BT165" i="1"/>
  <c r="BT160" i="1"/>
  <c r="BT156" i="1"/>
  <c r="BT148" i="1"/>
  <c r="BT144" i="1"/>
  <c r="BT140" i="1"/>
  <c r="BT136" i="1"/>
  <c r="BT132" i="1"/>
  <c r="BT127" i="1"/>
  <c r="BT122" i="1"/>
  <c r="BT118" i="1"/>
  <c r="BT114" i="1"/>
  <c r="BT109" i="1"/>
  <c r="BT105" i="1"/>
  <c r="BT101" i="1"/>
  <c r="BT97" i="1"/>
  <c r="BT93" i="1"/>
  <c r="BT123" i="1"/>
  <c r="BT84" i="1"/>
  <c r="BT80" i="1"/>
  <c r="BT76" i="1"/>
  <c r="BT72" i="1"/>
  <c r="BT68" i="1"/>
  <c r="BT63" i="1"/>
  <c r="BT59" i="1"/>
  <c r="BT55" i="1"/>
  <c r="BT50" i="1"/>
  <c r="BT46" i="1"/>
  <c r="BT42" i="1"/>
  <c r="BT38" i="1"/>
  <c r="BT33" i="1"/>
  <c r="BT29" i="1"/>
  <c r="BT25" i="1"/>
  <c r="BT270" i="1"/>
  <c r="BT267" i="1"/>
  <c r="BT263" i="1"/>
  <c r="BT259" i="1"/>
  <c r="BT255" i="1"/>
  <c r="BT251" i="1"/>
  <c r="BT247" i="1"/>
  <c r="BT242" i="1"/>
  <c r="BT232" i="1"/>
  <c r="BT228" i="1"/>
  <c r="BT224" i="1"/>
  <c r="BT220" i="1"/>
  <c r="BT216" i="1"/>
  <c r="BT212" i="1"/>
  <c r="BT204" i="1"/>
  <c r="BT200" i="1"/>
  <c r="BT196" i="1"/>
  <c r="BT192" i="1"/>
  <c r="BT188" i="1"/>
  <c r="BT184" i="1"/>
  <c r="BT180" i="1"/>
  <c r="BT176" i="1"/>
  <c r="BT172" i="1"/>
  <c r="BT168" i="1"/>
  <c r="BT164" i="1"/>
  <c r="BT159" i="1"/>
  <c r="BT155" i="1"/>
  <c r="BT151" i="1"/>
  <c r="BT147" i="1"/>
  <c r="BT143" i="1"/>
  <c r="BT139" i="1"/>
  <c r="BT135" i="1"/>
  <c r="BT130" i="1"/>
  <c r="BT125" i="1"/>
  <c r="BT121" i="1"/>
  <c r="BT117" i="1"/>
  <c r="BT108" i="1"/>
  <c r="BT104" i="1"/>
  <c r="BT100" i="1"/>
  <c r="BT96" i="1"/>
  <c r="BT92" i="1"/>
  <c r="BT87" i="1"/>
  <c r="BT83" i="1"/>
  <c r="BT79" i="1"/>
  <c r="BT75" i="1"/>
  <c r="BT71" i="1"/>
  <c r="BT67" i="1"/>
  <c r="BT62" i="1"/>
  <c r="BT58" i="1"/>
  <c r="BT53" i="1"/>
  <c r="BT49" i="1"/>
  <c r="BT45" i="1"/>
  <c r="BT41" i="1"/>
  <c r="BT37" i="1"/>
  <c r="BT32" i="1"/>
  <c r="BT28" i="1"/>
  <c r="BT24" i="1"/>
  <c r="BT266" i="1"/>
  <c r="BT262" i="1"/>
  <c r="BT258" i="1"/>
  <c r="BT201" i="1"/>
  <c r="BT250" i="1"/>
  <c r="BT246" i="1"/>
  <c r="BT241" i="1"/>
  <c r="BT236" i="1"/>
  <c r="BT231" i="1"/>
  <c r="BT227" i="1"/>
  <c r="BT223" i="1"/>
  <c r="BT219" i="1"/>
  <c r="BT215" i="1"/>
  <c r="BT211" i="1"/>
  <c r="BT207" i="1"/>
  <c r="BT203" i="1"/>
  <c r="BT199" i="1"/>
  <c r="BT195" i="1"/>
  <c r="BT191" i="1"/>
  <c r="BT187" i="1"/>
  <c r="BT190" i="1"/>
  <c r="BT175" i="1"/>
  <c r="BT171" i="1"/>
  <c r="BT167" i="1"/>
  <c r="BT163" i="1"/>
  <c r="BT158" i="1"/>
  <c r="BT91" i="1"/>
  <c r="BT150" i="1"/>
  <c r="BT146" i="1"/>
  <c r="BT142" i="1"/>
  <c r="BT138" i="1"/>
  <c r="BT134" i="1"/>
  <c r="BT129" i="1"/>
  <c r="BT124" i="1"/>
  <c r="BT116" i="1"/>
  <c r="BT111" i="1"/>
  <c r="BT107" i="1"/>
  <c r="BT103" i="1"/>
  <c r="BT99" i="1"/>
  <c r="BT95" i="1"/>
  <c r="BT90" i="1"/>
  <c r="BT86" i="1"/>
  <c r="BT82" i="1"/>
  <c r="BT78" i="1"/>
  <c r="BT74" i="1"/>
  <c r="BT70" i="1"/>
  <c r="BT65" i="1"/>
  <c r="BT61" i="1"/>
  <c r="BT57" i="1"/>
  <c r="BT52" i="1"/>
  <c r="BT48" i="1"/>
  <c r="BT44" i="1"/>
  <c r="BT40" i="1"/>
  <c r="BT36" i="1"/>
  <c r="BT31" i="1"/>
  <c r="BT27" i="1"/>
  <c r="BT23" i="1"/>
  <c r="BT152" i="1"/>
  <c r="BT66" i="1"/>
  <c r="BT269" i="1"/>
  <c r="BT18" i="1"/>
  <c r="BT119" i="1"/>
  <c r="BT238" i="1"/>
  <c r="BT113" i="1"/>
  <c r="BT88" i="1"/>
  <c r="BR238" i="1"/>
  <c r="BR18" i="1"/>
  <c r="BR119" i="1"/>
  <c r="BR113" i="1"/>
  <c r="BR88" i="1"/>
  <c r="BR179" i="1"/>
  <c r="BR152" i="1"/>
  <c r="BR66" i="1"/>
  <c r="EI268" i="1"/>
  <c r="EK268" i="1" s="1"/>
  <c r="BR268" i="1"/>
  <c r="EI264" i="1"/>
  <c r="EK264" i="1" s="1"/>
  <c r="BR264" i="1"/>
  <c r="EI260" i="1"/>
  <c r="EK260" i="1" s="1"/>
  <c r="BR260" i="1"/>
  <c r="EI256" i="1"/>
  <c r="EK256" i="1" s="1"/>
  <c r="BR256" i="1"/>
  <c r="EI252" i="1"/>
  <c r="EK252" i="1" s="1"/>
  <c r="BR252" i="1"/>
  <c r="EI248" i="1"/>
  <c r="EK248" i="1" s="1"/>
  <c r="BR248" i="1"/>
  <c r="EI243" i="1"/>
  <c r="EK243" i="1" s="1"/>
  <c r="BR243" i="1"/>
  <c r="EI239" i="1"/>
  <c r="EK239" i="1" s="1"/>
  <c r="BR239" i="1"/>
  <c r="EI233" i="1"/>
  <c r="EK233" i="1" s="1"/>
  <c r="BR233" i="1"/>
  <c r="EI229" i="1"/>
  <c r="EK229" i="1" s="1"/>
  <c r="BR229" i="1"/>
  <c r="EI225" i="1"/>
  <c r="EK225" i="1" s="1"/>
  <c r="BR225" i="1"/>
  <c r="EI221" i="1"/>
  <c r="EK221" i="1" s="1"/>
  <c r="BR221" i="1"/>
  <c r="EI217" i="1"/>
  <c r="EK217" i="1" s="1"/>
  <c r="BR217" i="1"/>
  <c r="EI213" i="1"/>
  <c r="EK213" i="1" s="1"/>
  <c r="BR213" i="1"/>
  <c r="EI209" i="1"/>
  <c r="EK209" i="1" s="1"/>
  <c r="BR209" i="1"/>
  <c r="EI205" i="1"/>
  <c r="EK205" i="1" s="1"/>
  <c r="BR205" i="1"/>
  <c r="EI254" i="1"/>
  <c r="EK254" i="1" s="1"/>
  <c r="BR254" i="1"/>
  <c r="EI197" i="1"/>
  <c r="EK197" i="1" s="1"/>
  <c r="BR197" i="1"/>
  <c r="EI193" i="1"/>
  <c r="EK193" i="1" s="1"/>
  <c r="BR193" i="1"/>
  <c r="EI189" i="1"/>
  <c r="EK189" i="1" s="1"/>
  <c r="BR189" i="1"/>
  <c r="EI181" i="1"/>
  <c r="EK181" i="1" s="1"/>
  <c r="BR181" i="1"/>
  <c r="EI177" i="1"/>
  <c r="EK177" i="1" s="1"/>
  <c r="BR177" i="1"/>
  <c r="EI173" i="1"/>
  <c r="EK173" i="1" s="1"/>
  <c r="BR173" i="1"/>
  <c r="EI169" i="1"/>
  <c r="EK169" i="1" s="1"/>
  <c r="BR169" i="1"/>
  <c r="EI165" i="1"/>
  <c r="EK165" i="1" s="1"/>
  <c r="BR165" i="1"/>
  <c r="EI160" i="1"/>
  <c r="EK160" i="1" s="1"/>
  <c r="BR160" i="1"/>
  <c r="EI156" i="1"/>
  <c r="EK156" i="1" s="1"/>
  <c r="BR156" i="1"/>
  <c r="EI148" i="1"/>
  <c r="EK148" i="1" s="1"/>
  <c r="BR148" i="1"/>
  <c r="EI144" i="1"/>
  <c r="EK144" i="1" s="1"/>
  <c r="BR144" i="1"/>
  <c r="EI140" i="1"/>
  <c r="EK140" i="1" s="1"/>
  <c r="BR140" i="1"/>
  <c r="EI136" i="1"/>
  <c r="EK136" i="1" s="1"/>
  <c r="BR136" i="1"/>
  <c r="EI132" i="1"/>
  <c r="EK132" i="1" s="1"/>
  <c r="BR132" i="1"/>
  <c r="EI127" i="1"/>
  <c r="EK127" i="1" s="1"/>
  <c r="BR127" i="1"/>
  <c r="EI122" i="1"/>
  <c r="EK122" i="1" s="1"/>
  <c r="BR122" i="1"/>
  <c r="EI118" i="1"/>
  <c r="EK118" i="1" s="1"/>
  <c r="BR118" i="1"/>
  <c r="EI114" i="1"/>
  <c r="EK114" i="1" s="1"/>
  <c r="BR114" i="1"/>
  <c r="EI109" i="1"/>
  <c r="EK109" i="1" s="1"/>
  <c r="BR109" i="1"/>
  <c r="EI105" i="1"/>
  <c r="EK105" i="1" s="1"/>
  <c r="BR105" i="1"/>
  <c r="EI101" i="1"/>
  <c r="EK101" i="1" s="1"/>
  <c r="BR101" i="1"/>
  <c r="EI97" i="1"/>
  <c r="EK97" i="1" s="1"/>
  <c r="BR97" i="1"/>
  <c r="EI93" i="1"/>
  <c r="EK93" i="1" s="1"/>
  <c r="BR93" i="1"/>
  <c r="EI162" i="1"/>
  <c r="EK162" i="1" s="1"/>
  <c r="BR162" i="1"/>
  <c r="EI85" i="1"/>
  <c r="EK85" i="1" s="1"/>
  <c r="BR85" i="1"/>
  <c r="EI81" i="1"/>
  <c r="EK81" i="1" s="1"/>
  <c r="BR81" i="1"/>
  <c r="EI77" i="1"/>
  <c r="EK77" i="1" s="1"/>
  <c r="BR77" i="1"/>
  <c r="EI73" i="1"/>
  <c r="EK73" i="1" s="1"/>
  <c r="BR73" i="1"/>
  <c r="EI183" i="1"/>
  <c r="EK183" i="1" s="1"/>
  <c r="BR183" i="1"/>
  <c r="EI126" i="1"/>
  <c r="EK126" i="1" s="1"/>
  <c r="BR126" i="1"/>
  <c r="EI60" i="1"/>
  <c r="EK60" i="1" s="1"/>
  <c r="BR60" i="1"/>
  <c r="EI56" i="1"/>
  <c r="EK56" i="1" s="1"/>
  <c r="BR56" i="1"/>
  <c r="EI51" i="1"/>
  <c r="EK51" i="1" s="1"/>
  <c r="BR51" i="1"/>
  <c r="EI47" i="1"/>
  <c r="EK47" i="1" s="1"/>
  <c r="BR47" i="1"/>
  <c r="EI43" i="1"/>
  <c r="EK43" i="1" s="1"/>
  <c r="BR43" i="1"/>
  <c r="EI39" i="1"/>
  <c r="EK39" i="1" s="1"/>
  <c r="BR39" i="1"/>
  <c r="EI35" i="1"/>
  <c r="EK35" i="1" s="1"/>
  <c r="BR35" i="1"/>
  <c r="EI30" i="1"/>
  <c r="EK30" i="1" s="1"/>
  <c r="BR30" i="1"/>
  <c r="EI26" i="1"/>
  <c r="EK26" i="1" s="1"/>
  <c r="BR26" i="1"/>
  <c r="EI22" i="1"/>
  <c r="EK22" i="1" s="1"/>
  <c r="BR22" i="1"/>
  <c r="EI270" i="1"/>
  <c r="EK270" i="1" s="1"/>
  <c r="BR270" i="1"/>
  <c r="EI267" i="1"/>
  <c r="EK267" i="1" s="1"/>
  <c r="BR267" i="1"/>
  <c r="EI263" i="1"/>
  <c r="EK263" i="1" s="1"/>
  <c r="BR263" i="1"/>
  <c r="EI259" i="1"/>
  <c r="EK259" i="1" s="1"/>
  <c r="BR259" i="1"/>
  <c r="EI255" i="1"/>
  <c r="EK255" i="1" s="1"/>
  <c r="BR255" i="1"/>
  <c r="EI251" i="1"/>
  <c r="EK251" i="1" s="1"/>
  <c r="BR251" i="1"/>
  <c r="EI247" i="1"/>
  <c r="EK247" i="1" s="1"/>
  <c r="BR247" i="1"/>
  <c r="EI242" i="1"/>
  <c r="EK242" i="1" s="1"/>
  <c r="BR242" i="1"/>
  <c r="EI238" i="1"/>
  <c r="EK238" i="1" s="1"/>
  <c r="EI232" i="1"/>
  <c r="EK232" i="1" s="1"/>
  <c r="BR232" i="1"/>
  <c r="EI228" i="1"/>
  <c r="EK228" i="1" s="1"/>
  <c r="BR228" i="1"/>
  <c r="EI224" i="1"/>
  <c r="EK224" i="1" s="1"/>
  <c r="BR224" i="1"/>
  <c r="EI220" i="1"/>
  <c r="EK220" i="1" s="1"/>
  <c r="BR220" i="1"/>
  <c r="EI216" i="1"/>
  <c r="EK216" i="1" s="1"/>
  <c r="BR216" i="1"/>
  <c r="EI212" i="1"/>
  <c r="EK212" i="1" s="1"/>
  <c r="BR212" i="1"/>
  <c r="EI204" i="1"/>
  <c r="EK204" i="1" s="1"/>
  <c r="BR204" i="1"/>
  <c r="EI200" i="1"/>
  <c r="EK200" i="1" s="1"/>
  <c r="BR200" i="1"/>
  <c r="EI196" i="1"/>
  <c r="EK196" i="1" s="1"/>
  <c r="BR196" i="1"/>
  <c r="EI192" i="1"/>
  <c r="EK192" i="1" s="1"/>
  <c r="BR192" i="1"/>
  <c r="EI188" i="1"/>
  <c r="EK188" i="1" s="1"/>
  <c r="BR188" i="1"/>
  <c r="EI184" i="1"/>
  <c r="EK184" i="1" s="1"/>
  <c r="BR184" i="1"/>
  <c r="EI180" i="1"/>
  <c r="EK180" i="1" s="1"/>
  <c r="BR180" i="1"/>
  <c r="EI176" i="1"/>
  <c r="EK176" i="1" s="1"/>
  <c r="BR176" i="1"/>
  <c r="EI172" i="1"/>
  <c r="EK172" i="1" s="1"/>
  <c r="BR172" i="1"/>
  <c r="EI168" i="1"/>
  <c r="EK168" i="1" s="1"/>
  <c r="BR168" i="1"/>
  <c r="EI164" i="1"/>
  <c r="EK164" i="1" s="1"/>
  <c r="BR164" i="1"/>
  <c r="EI159" i="1"/>
  <c r="EK159" i="1" s="1"/>
  <c r="BR159" i="1"/>
  <c r="EI155" i="1"/>
  <c r="EK155" i="1" s="1"/>
  <c r="BR155" i="1"/>
  <c r="EI151" i="1"/>
  <c r="EK151" i="1" s="1"/>
  <c r="BR151" i="1"/>
  <c r="EI147" i="1"/>
  <c r="EK147" i="1" s="1"/>
  <c r="BR147" i="1"/>
  <c r="EI143" i="1"/>
  <c r="EK143" i="1" s="1"/>
  <c r="BR143" i="1"/>
  <c r="EI139" i="1"/>
  <c r="EK139" i="1" s="1"/>
  <c r="BR139" i="1"/>
  <c r="EI135" i="1"/>
  <c r="EK135" i="1" s="1"/>
  <c r="BR135" i="1"/>
  <c r="EI130" i="1"/>
  <c r="EK130" i="1" s="1"/>
  <c r="BR130" i="1"/>
  <c r="EI125" i="1"/>
  <c r="EK125" i="1" s="1"/>
  <c r="BR125" i="1"/>
  <c r="EI121" i="1"/>
  <c r="EK121" i="1" s="1"/>
  <c r="BR121" i="1"/>
  <c r="EI117" i="1"/>
  <c r="EK117" i="1" s="1"/>
  <c r="BR117" i="1"/>
  <c r="EI108" i="1"/>
  <c r="EK108" i="1" s="1"/>
  <c r="BR108" i="1"/>
  <c r="EI104" i="1"/>
  <c r="EK104" i="1" s="1"/>
  <c r="BR104" i="1"/>
  <c r="EI100" i="1"/>
  <c r="EK100" i="1" s="1"/>
  <c r="BR100" i="1"/>
  <c r="EI96" i="1"/>
  <c r="EK96" i="1" s="1"/>
  <c r="BR96" i="1"/>
  <c r="EI92" i="1"/>
  <c r="EK92" i="1" s="1"/>
  <c r="BR92" i="1"/>
  <c r="EI123" i="1"/>
  <c r="EK123" i="1" s="1"/>
  <c r="BR123" i="1"/>
  <c r="EI84" i="1"/>
  <c r="EK84" i="1" s="1"/>
  <c r="BR84" i="1"/>
  <c r="EI80" i="1"/>
  <c r="EK80" i="1" s="1"/>
  <c r="BR80" i="1"/>
  <c r="EI76" i="1"/>
  <c r="EK76" i="1" s="1"/>
  <c r="BR76" i="1"/>
  <c r="EI72" i="1"/>
  <c r="EK72" i="1" s="1"/>
  <c r="BR72" i="1"/>
  <c r="EI68" i="1"/>
  <c r="EK68" i="1" s="1"/>
  <c r="BR68" i="1"/>
  <c r="EI63" i="1"/>
  <c r="EK63" i="1" s="1"/>
  <c r="BR63" i="1"/>
  <c r="EI59" i="1"/>
  <c r="EK59" i="1" s="1"/>
  <c r="BR59" i="1"/>
  <c r="EI55" i="1"/>
  <c r="EK55" i="1" s="1"/>
  <c r="BR55" i="1"/>
  <c r="EI50" i="1"/>
  <c r="EK50" i="1" s="1"/>
  <c r="BR50" i="1"/>
  <c r="EI46" i="1"/>
  <c r="EK46" i="1" s="1"/>
  <c r="BR46" i="1"/>
  <c r="EI42" i="1"/>
  <c r="EK42" i="1" s="1"/>
  <c r="BR42" i="1"/>
  <c r="EI38" i="1"/>
  <c r="EK38" i="1" s="1"/>
  <c r="BR38" i="1"/>
  <c r="EI33" i="1"/>
  <c r="EK33" i="1" s="1"/>
  <c r="BR33" i="1"/>
  <c r="EI29" i="1"/>
  <c r="EK29" i="1" s="1"/>
  <c r="BR29" i="1"/>
  <c r="EI25" i="1"/>
  <c r="EK25" i="1" s="1"/>
  <c r="BR25" i="1"/>
  <c r="EI266" i="1"/>
  <c r="EK266" i="1" s="1"/>
  <c r="BR266" i="1"/>
  <c r="EI262" i="1"/>
  <c r="EK262" i="1" s="1"/>
  <c r="BR262" i="1"/>
  <c r="EI258" i="1"/>
  <c r="EK258" i="1" s="1"/>
  <c r="BR258" i="1"/>
  <c r="EI201" i="1"/>
  <c r="EK201" i="1" s="1"/>
  <c r="BR201" i="1"/>
  <c r="EI250" i="1"/>
  <c r="EK250" i="1" s="1"/>
  <c r="BR250" i="1"/>
  <c r="EI246" i="1"/>
  <c r="EK246" i="1" s="1"/>
  <c r="BR246" i="1"/>
  <c r="EI241" i="1"/>
  <c r="EK241" i="1" s="1"/>
  <c r="BR241" i="1"/>
  <c r="EI236" i="1"/>
  <c r="EK236" i="1" s="1"/>
  <c r="BR236" i="1"/>
  <c r="EI231" i="1"/>
  <c r="EK231" i="1" s="1"/>
  <c r="BR231" i="1"/>
  <c r="EI227" i="1"/>
  <c r="EK227" i="1" s="1"/>
  <c r="BR227" i="1"/>
  <c r="EI223" i="1"/>
  <c r="EK223" i="1" s="1"/>
  <c r="BR223" i="1"/>
  <c r="EI219" i="1"/>
  <c r="EK219" i="1" s="1"/>
  <c r="BR219" i="1"/>
  <c r="EI215" i="1"/>
  <c r="EK215" i="1" s="1"/>
  <c r="BR215" i="1"/>
  <c r="EI211" i="1"/>
  <c r="EK211" i="1" s="1"/>
  <c r="BR211" i="1"/>
  <c r="EI207" i="1"/>
  <c r="EK207" i="1" s="1"/>
  <c r="BR207" i="1"/>
  <c r="EI203" i="1"/>
  <c r="EK203" i="1" s="1"/>
  <c r="BR203" i="1"/>
  <c r="EI199" i="1"/>
  <c r="EK199" i="1" s="1"/>
  <c r="BR199" i="1"/>
  <c r="EI195" i="1"/>
  <c r="EK195" i="1" s="1"/>
  <c r="BR195" i="1"/>
  <c r="EI191" i="1"/>
  <c r="EK191" i="1" s="1"/>
  <c r="BR191" i="1"/>
  <c r="EI187" i="1"/>
  <c r="EK187" i="1" s="1"/>
  <c r="BR187" i="1"/>
  <c r="EI190" i="1"/>
  <c r="EK190" i="1" s="1"/>
  <c r="BR190" i="1"/>
  <c r="EI175" i="1"/>
  <c r="EK175" i="1" s="1"/>
  <c r="BR175" i="1"/>
  <c r="EI171" i="1"/>
  <c r="EK171" i="1" s="1"/>
  <c r="BR171" i="1"/>
  <c r="EI167" i="1"/>
  <c r="EK167" i="1" s="1"/>
  <c r="BR167" i="1"/>
  <c r="EI163" i="1"/>
  <c r="EK163" i="1" s="1"/>
  <c r="BR163" i="1"/>
  <c r="EI158" i="1"/>
  <c r="EK158" i="1" s="1"/>
  <c r="BR158" i="1"/>
  <c r="EI91" i="1"/>
  <c r="EK91" i="1" s="1"/>
  <c r="BR91" i="1"/>
  <c r="EI150" i="1"/>
  <c r="EK150" i="1" s="1"/>
  <c r="BR150" i="1"/>
  <c r="EI146" i="1"/>
  <c r="EK146" i="1" s="1"/>
  <c r="BR146" i="1"/>
  <c r="EI142" i="1"/>
  <c r="EK142" i="1" s="1"/>
  <c r="BR142" i="1"/>
  <c r="EI138" i="1"/>
  <c r="EK138" i="1" s="1"/>
  <c r="BR138" i="1"/>
  <c r="EI134" i="1"/>
  <c r="EK134" i="1" s="1"/>
  <c r="BR134" i="1"/>
  <c r="EI129" i="1"/>
  <c r="EK129" i="1" s="1"/>
  <c r="BR129" i="1"/>
  <c r="EI124" i="1"/>
  <c r="EK124" i="1" s="1"/>
  <c r="BR124" i="1"/>
  <c r="EI116" i="1"/>
  <c r="EK116" i="1" s="1"/>
  <c r="BR116" i="1"/>
  <c r="EI111" i="1"/>
  <c r="EK111" i="1" s="1"/>
  <c r="BR111" i="1"/>
  <c r="EI107" i="1"/>
  <c r="EK107" i="1" s="1"/>
  <c r="BR107" i="1"/>
  <c r="EI103" i="1"/>
  <c r="EK103" i="1" s="1"/>
  <c r="BR103" i="1"/>
  <c r="EI99" i="1"/>
  <c r="EK99" i="1" s="1"/>
  <c r="BR99" i="1"/>
  <c r="EI95" i="1"/>
  <c r="EK95" i="1" s="1"/>
  <c r="BR95" i="1"/>
  <c r="EI87" i="1"/>
  <c r="EK87" i="1" s="1"/>
  <c r="BR87" i="1"/>
  <c r="EI83" i="1"/>
  <c r="EK83" i="1" s="1"/>
  <c r="BR83" i="1"/>
  <c r="EI79" i="1"/>
  <c r="EK79" i="1" s="1"/>
  <c r="BR79" i="1"/>
  <c r="EI75" i="1"/>
  <c r="EK75" i="1" s="1"/>
  <c r="BR75" i="1"/>
  <c r="EI71" i="1"/>
  <c r="EK71" i="1" s="1"/>
  <c r="BR71" i="1"/>
  <c r="EI67" i="1"/>
  <c r="EK67" i="1" s="1"/>
  <c r="BR67" i="1"/>
  <c r="EI62" i="1"/>
  <c r="EK62" i="1" s="1"/>
  <c r="BR62" i="1"/>
  <c r="EI58" i="1"/>
  <c r="EK58" i="1" s="1"/>
  <c r="BR58" i="1"/>
  <c r="EI53" i="1"/>
  <c r="EK53" i="1" s="1"/>
  <c r="BR53" i="1"/>
  <c r="EI49" i="1"/>
  <c r="EK49" i="1" s="1"/>
  <c r="BR49" i="1"/>
  <c r="EI45" i="1"/>
  <c r="EK45" i="1" s="1"/>
  <c r="BR45" i="1"/>
  <c r="EI41" i="1"/>
  <c r="EK41" i="1" s="1"/>
  <c r="BR41" i="1"/>
  <c r="EI37" i="1"/>
  <c r="EK37" i="1" s="1"/>
  <c r="BR37" i="1"/>
  <c r="EI32" i="1"/>
  <c r="EK32" i="1" s="1"/>
  <c r="BR32" i="1"/>
  <c r="EI28" i="1"/>
  <c r="EK28" i="1" s="1"/>
  <c r="BR28" i="1"/>
  <c r="EI24" i="1"/>
  <c r="EK24" i="1" s="1"/>
  <c r="BR24" i="1"/>
  <c r="EI269" i="1"/>
  <c r="EK269" i="1" s="1"/>
  <c r="BR269" i="1"/>
  <c r="EI265" i="1"/>
  <c r="EK265" i="1" s="1"/>
  <c r="BR265" i="1"/>
  <c r="EI261" i="1"/>
  <c r="EK261" i="1" s="1"/>
  <c r="BR261" i="1"/>
  <c r="EI257" i="1"/>
  <c r="EK257" i="1" s="1"/>
  <c r="BR257" i="1"/>
  <c r="EI253" i="1"/>
  <c r="EK253" i="1" s="1"/>
  <c r="BR253" i="1"/>
  <c r="EI249" i="1"/>
  <c r="EK249" i="1" s="1"/>
  <c r="BR249" i="1"/>
  <c r="EI245" i="1"/>
  <c r="EK245" i="1" s="1"/>
  <c r="BR245" i="1"/>
  <c r="EI240" i="1"/>
  <c r="EK240" i="1" s="1"/>
  <c r="BR240" i="1"/>
  <c r="EI234" i="1"/>
  <c r="EK234" i="1" s="1"/>
  <c r="BR234" i="1"/>
  <c r="EI230" i="1"/>
  <c r="EK230" i="1" s="1"/>
  <c r="BR230" i="1"/>
  <c r="EI226" i="1"/>
  <c r="EK226" i="1" s="1"/>
  <c r="BR226" i="1"/>
  <c r="EI222" i="1"/>
  <c r="EK222" i="1" s="1"/>
  <c r="BR222" i="1"/>
  <c r="EI218" i="1"/>
  <c r="EK218" i="1" s="1"/>
  <c r="BR218" i="1"/>
  <c r="EI214" i="1"/>
  <c r="EK214" i="1" s="1"/>
  <c r="BR214" i="1"/>
  <c r="EI210" i="1"/>
  <c r="EK210" i="1" s="1"/>
  <c r="BR210" i="1"/>
  <c r="EI206" i="1"/>
  <c r="EK206" i="1" s="1"/>
  <c r="BR206" i="1"/>
  <c r="EI202" i="1"/>
  <c r="EK202" i="1" s="1"/>
  <c r="BR202" i="1"/>
  <c r="EI198" i="1"/>
  <c r="EK198" i="1" s="1"/>
  <c r="BR198" i="1"/>
  <c r="EI194" i="1"/>
  <c r="EK194" i="1" s="1"/>
  <c r="BR194" i="1"/>
  <c r="EI34" i="1"/>
  <c r="EK34" i="1" s="1"/>
  <c r="BR34" i="1"/>
  <c r="EI186" i="1"/>
  <c r="EK186" i="1" s="1"/>
  <c r="BR186" i="1"/>
  <c r="EI182" i="1"/>
  <c r="EK182" i="1" s="1"/>
  <c r="BR182" i="1"/>
  <c r="EI178" i="1"/>
  <c r="EK178" i="1" s="1"/>
  <c r="BR178" i="1"/>
  <c r="EI174" i="1"/>
  <c r="EK174" i="1" s="1"/>
  <c r="BR174" i="1"/>
  <c r="EI170" i="1"/>
  <c r="EK170" i="1" s="1"/>
  <c r="BR170" i="1"/>
  <c r="EI166" i="1"/>
  <c r="EK166" i="1" s="1"/>
  <c r="BR166" i="1"/>
  <c r="EI161" i="1"/>
  <c r="EK161" i="1" s="1"/>
  <c r="BR161" i="1"/>
  <c r="EI157" i="1"/>
  <c r="EK157" i="1" s="1"/>
  <c r="BR157" i="1"/>
  <c r="EI153" i="1"/>
  <c r="EK153" i="1" s="1"/>
  <c r="BR153" i="1"/>
  <c r="EI149" i="1"/>
  <c r="EK149" i="1" s="1"/>
  <c r="BR149" i="1"/>
  <c r="EI145" i="1"/>
  <c r="EK145" i="1" s="1"/>
  <c r="BR145" i="1"/>
  <c r="EI141" i="1"/>
  <c r="EK141" i="1" s="1"/>
  <c r="BR141" i="1"/>
  <c r="EI137" i="1"/>
  <c r="EK137" i="1" s="1"/>
  <c r="BR137" i="1"/>
  <c r="EI133" i="1"/>
  <c r="EK133" i="1" s="1"/>
  <c r="BR133" i="1"/>
  <c r="EI128" i="1"/>
  <c r="EK128" i="1" s="1"/>
  <c r="BR128" i="1"/>
  <c r="EI115" i="1"/>
  <c r="EK115" i="1" s="1"/>
  <c r="BR115" i="1"/>
  <c r="EI110" i="1"/>
  <c r="EK110" i="1" s="1"/>
  <c r="BR110" i="1"/>
  <c r="EI106" i="1"/>
  <c r="EK106" i="1" s="1"/>
  <c r="BR106" i="1"/>
  <c r="EI102" i="1"/>
  <c r="EK102" i="1" s="1"/>
  <c r="BR102" i="1"/>
  <c r="EI98" i="1"/>
  <c r="EK98" i="1" s="1"/>
  <c r="BR98" i="1"/>
  <c r="EI94" i="1"/>
  <c r="EK94" i="1" s="1"/>
  <c r="BR94" i="1"/>
  <c r="EI90" i="1"/>
  <c r="EK90" i="1" s="1"/>
  <c r="BR90" i="1"/>
  <c r="EI86" i="1"/>
  <c r="EK86" i="1" s="1"/>
  <c r="BR86" i="1"/>
  <c r="EI82" i="1"/>
  <c r="EK82" i="1" s="1"/>
  <c r="BR82" i="1"/>
  <c r="EI78" i="1"/>
  <c r="EK78" i="1" s="1"/>
  <c r="BR78" i="1"/>
  <c r="EI74" i="1"/>
  <c r="EK74" i="1" s="1"/>
  <c r="BR74" i="1"/>
  <c r="EI70" i="1"/>
  <c r="EK70" i="1" s="1"/>
  <c r="BR70" i="1"/>
  <c r="EI65" i="1"/>
  <c r="EK65" i="1" s="1"/>
  <c r="BR65" i="1"/>
  <c r="EI61" i="1"/>
  <c r="EK61" i="1" s="1"/>
  <c r="BR61" i="1"/>
  <c r="EI57" i="1"/>
  <c r="EK57" i="1" s="1"/>
  <c r="BR57" i="1"/>
  <c r="EI52" i="1"/>
  <c r="EK52" i="1" s="1"/>
  <c r="BR52" i="1"/>
  <c r="EI48" i="1"/>
  <c r="EK48" i="1" s="1"/>
  <c r="BR48" i="1"/>
  <c r="EI44" i="1"/>
  <c r="EK44" i="1" s="1"/>
  <c r="BR44" i="1"/>
  <c r="EI40" i="1"/>
  <c r="EK40" i="1" s="1"/>
  <c r="BR40" i="1"/>
  <c r="EI36" i="1"/>
  <c r="EK36" i="1" s="1"/>
  <c r="BR36" i="1"/>
  <c r="EI31" i="1"/>
  <c r="EK31" i="1" s="1"/>
  <c r="BR31" i="1"/>
  <c r="EI27" i="1"/>
  <c r="EK27" i="1" s="1"/>
  <c r="BR27" i="1"/>
  <c r="EI23" i="1"/>
  <c r="EK23" i="1" s="1"/>
  <c r="BR23" i="1"/>
  <c r="EI179" i="1"/>
  <c r="EK179" i="1" s="1"/>
  <c r="EI152" i="1"/>
  <c r="EK152" i="1" s="1"/>
  <c r="EI119" i="1"/>
  <c r="EK119" i="1" s="1"/>
  <c r="EI113" i="1"/>
  <c r="EK113" i="1" s="1"/>
  <c r="EI88" i="1"/>
  <c r="EK88" i="1" s="1"/>
  <c r="EI69" i="1"/>
  <c r="EK69" i="1" s="1"/>
  <c r="EI66" i="1"/>
  <c r="EK66" i="1" s="1"/>
  <c r="EI18" i="1"/>
  <c r="EK18" i="1" s="1"/>
  <c r="EK154" i="1"/>
  <c r="C33" i="3"/>
  <c r="F32" i="3"/>
  <c r="E40" i="3"/>
  <c r="CE255" i="1"/>
  <c r="CE243" i="1"/>
  <c r="CE223" i="1"/>
  <c r="CE203" i="1"/>
  <c r="CE191" i="1"/>
  <c r="CE171" i="1"/>
  <c r="CE159" i="1"/>
  <c r="CE140" i="1"/>
  <c r="CE128" i="1"/>
  <c r="CE108" i="1"/>
  <c r="CE96" i="1"/>
  <c r="CE92" i="1"/>
  <c r="CE123" i="1"/>
  <c r="CE84" i="1"/>
  <c r="CE80" i="1"/>
  <c r="CE76" i="1"/>
  <c r="CE72" i="1"/>
  <c r="CE68" i="1"/>
  <c r="CE126" i="1"/>
  <c r="CE60" i="1"/>
  <c r="CE56" i="1"/>
  <c r="CE52" i="1"/>
  <c r="CE48" i="1"/>
  <c r="CE44" i="1"/>
  <c r="CE40" i="1"/>
  <c r="CE36" i="1"/>
  <c r="CE32" i="1"/>
  <c r="CE28" i="1"/>
  <c r="CE24" i="1"/>
  <c r="CE20" i="1"/>
  <c r="CE16" i="1"/>
  <c r="CE12" i="1"/>
  <c r="CE8" i="1"/>
  <c r="CE270" i="1"/>
  <c r="CE267" i="1"/>
  <c r="CE263" i="1"/>
  <c r="CE256" i="1"/>
  <c r="CE252" i="1"/>
  <c r="CE244" i="1"/>
  <c r="CE240" i="1"/>
  <c r="CE232" i="1"/>
  <c r="CE224" i="1"/>
  <c r="CE216" i="1"/>
  <c r="CE113" i="1"/>
  <c r="CE200" i="1"/>
  <c r="CE196" i="1"/>
  <c r="CE188" i="1"/>
  <c r="CE180" i="1"/>
  <c r="CE172" i="1"/>
  <c r="CE164" i="1"/>
  <c r="CE156" i="1"/>
  <c r="CE145" i="1"/>
  <c r="CE137" i="1"/>
  <c r="CE129" i="1"/>
  <c r="CE121" i="1"/>
  <c r="CE117" i="1"/>
  <c r="CE109" i="1"/>
  <c r="CE105" i="1"/>
  <c r="CE97" i="1"/>
  <c r="CE93" i="1"/>
  <c r="CE162" i="1"/>
  <c r="CE85" i="1"/>
  <c r="CE81" i="1"/>
  <c r="CE77" i="1"/>
  <c r="CE73" i="1"/>
  <c r="CE183" i="1"/>
  <c r="CE65" i="1"/>
  <c r="CE61" i="1"/>
  <c r="CE53" i="1"/>
  <c r="CE45" i="1"/>
  <c r="CE37" i="1"/>
  <c r="CE29" i="1"/>
  <c r="CE21" i="1"/>
  <c r="CE185" i="1"/>
  <c r="CE266" i="1"/>
  <c r="CE251" i="1"/>
  <c r="CE235" i="1"/>
  <c r="CE227" i="1"/>
  <c r="CE219" i="1"/>
  <c r="CE207" i="1"/>
  <c r="CE195" i="1"/>
  <c r="CE190" i="1"/>
  <c r="CE175" i="1"/>
  <c r="CE167" i="1"/>
  <c r="CE119" i="1"/>
  <c r="CE144" i="1"/>
  <c r="CE136" i="1"/>
  <c r="CE124" i="1"/>
  <c r="CE112" i="1"/>
  <c r="CE100" i="1"/>
  <c r="CE268" i="1"/>
  <c r="CE265" i="1"/>
  <c r="CE262" i="1"/>
  <c r="CE258" i="1"/>
  <c r="CE201" i="1"/>
  <c r="CE250" i="1"/>
  <c r="CE246" i="1"/>
  <c r="CE242" i="1"/>
  <c r="CE238" i="1"/>
  <c r="CE234" i="1"/>
  <c r="CE230" i="1"/>
  <c r="CE226" i="1"/>
  <c r="CE222" i="1"/>
  <c r="CE218" i="1"/>
  <c r="CE214" i="1"/>
  <c r="CE210" i="1"/>
  <c r="CE206" i="1"/>
  <c r="CE202" i="1"/>
  <c r="CE198" i="1"/>
  <c r="CE194" i="1"/>
  <c r="CE34" i="1"/>
  <c r="CE186" i="1"/>
  <c r="CE182" i="1"/>
  <c r="CE178" i="1"/>
  <c r="CE174" i="1"/>
  <c r="CE170" i="1"/>
  <c r="CE166" i="1"/>
  <c r="CE64" i="1"/>
  <c r="CE158" i="1"/>
  <c r="CE91" i="1"/>
  <c r="CE151" i="1"/>
  <c r="CE147" i="1"/>
  <c r="CE143" i="1"/>
  <c r="CE139" i="1"/>
  <c r="CE135" i="1"/>
  <c r="CE131" i="1"/>
  <c r="CE127" i="1"/>
  <c r="CE152" i="1"/>
  <c r="CE66" i="1"/>
  <c r="CE115" i="1"/>
  <c r="CE111" i="1"/>
  <c r="CE107" i="1"/>
  <c r="CE103" i="1"/>
  <c r="CE99" i="1"/>
  <c r="CE95" i="1"/>
  <c r="CE87" i="1"/>
  <c r="CE83" i="1"/>
  <c r="CE79" i="1"/>
  <c r="CE75" i="1"/>
  <c r="CE71" i="1"/>
  <c r="CE67" i="1"/>
  <c r="CE63" i="1"/>
  <c r="CE59" i="1"/>
  <c r="CE55" i="1"/>
  <c r="CE51" i="1"/>
  <c r="CE47" i="1"/>
  <c r="CE43" i="1"/>
  <c r="CE39" i="1"/>
  <c r="CE35" i="1"/>
  <c r="CE31" i="1"/>
  <c r="CE27" i="1"/>
  <c r="CE23" i="1"/>
  <c r="CE19" i="1"/>
  <c r="CE15" i="1"/>
  <c r="CE11" i="1"/>
  <c r="CE7" i="1"/>
  <c r="CE260" i="1"/>
  <c r="CE248" i="1"/>
  <c r="CE236" i="1"/>
  <c r="CE228" i="1"/>
  <c r="CE220" i="1"/>
  <c r="CE212" i="1"/>
  <c r="CE204" i="1"/>
  <c r="CE192" i="1"/>
  <c r="CE184" i="1"/>
  <c r="CE176" i="1"/>
  <c r="CE168" i="1"/>
  <c r="CE160" i="1"/>
  <c r="CE149" i="1"/>
  <c r="CE141" i="1"/>
  <c r="CE133" i="1"/>
  <c r="CE125" i="1"/>
  <c r="CE88" i="1"/>
  <c r="CE101" i="1"/>
  <c r="CE57" i="1"/>
  <c r="CE49" i="1"/>
  <c r="CE41" i="1"/>
  <c r="CE33" i="1"/>
  <c r="CE25" i="1"/>
  <c r="CE17" i="1"/>
  <c r="CE9" i="1"/>
  <c r="CE269" i="1"/>
  <c r="CE259" i="1"/>
  <c r="CE247" i="1"/>
  <c r="CE239" i="1"/>
  <c r="CE231" i="1"/>
  <c r="CE215" i="1"/>
  <c r="CE211" i="1"/>
  <c r="CE199" i="1"/>
  <c r="CE187" i="1"/>
  <c r="CE154" i="1"/>
  <c r="CE163" i="1"/>
  <c r="CE155" i="1"/>
  <c r="CE148" i="1"/>
  <c r="CE132" i="1"/>
  <c r="CE69" i="1"/>
  <c r="CE116" i="1"/>
  <c r="CE104" i="1"/>
  <c r="CE264" i="1"/>
  <c r="CE261" i="1"/>
  <c r="CE257" i="1"/>
  <c r="CE253" i="1"/>
  <c r="CE249" i="1"/>
  <c r="CE245" i="1"/>
  <c r="CE241" i="1"/>
  <c r="CE237" i="1"/>
  <c r="CE233" i="1"/>
  <c r="CE229" i="1"/>
  <c r="CE225" i="1"/>
  <c r="CE221" i="1"/>
  <c r="CE217" i="1"/>
  <c r="CE213" i="1"/>
  <c r="CE209" i="1"/>
  <c r="CE205" i="1"/>
  <c r="CE254" i="1"/>
  <c r="CE197" i="1"/>
  <c r="CE193" i="1"/>
  <c r="CE189" i="1"/>
  <c r="CE18" i="1"/>
  <c r="CE181" i="1"/>
  <c r="CE177" i="1"/>
  <c r="CE173" i="1"/>
  <c r="CE169" i="1"/>
  <c r="CE165" i="1"/>
  <c r="CE161" i="1"/>
  <c r="CE157" i="1"/>
  <c r="CE153" i="1"/>
  <c r="CE150" i="1"/>
  <c r="CE146" i="1"/>
  <c r="CE142" i="1"/>
  <c r="CE138" i="1"/>
  <c r="CE134" i="1"/>
  <c r="CE130" i="1"/>
  <c r="CE13" i="1"/>
  <c r="CE122" i="1"/>
  <c r="CE118" i="1"/>
  <c r="CE114" i="1"/>
  <c r="CE110" i="1"/>
  <c r="CE106" i="1"/>
  <c r="CE102" i="1"/>
  <c r="CE98" i="1"/>
  <c r="CE94" i="1"/>
  <c r="CE90" i="1"/>
  <c r="CE86" i="1"/>
  <c r="CE82" i="1"/>
  <c r="CE78" i="1"/>
  <c r="CE74" i="1"/>
  <c r="CE70" i="1"/>
  <c r="CE120" i="1"/>
  <c r="CE62" i="1"/>
  <c r="CE58" i="1"/>
  <c r="CE54" i="1"/>
  <c r="CE50" i="1"/>
  <c r="CE46" i="1"/>
  <c r="CE42" i="1"/>
  <c r="CE38" i="1"/>
  <c r="CE208" i="1"/>
  <c r="CE30" i="1"/>
  <c r="CE26" i="1"/>
  <c r="CE22" i="1"/>
  <c r="CE14" i="1"/>
  <c r="CE10" i="1"/>
  <c r="CE6" i="1"/>
  <c r="BG1" i="1" l="1" a="1"/>
  <c r="BG1" i="1" s="1"/>
  <c r="C34" i="3"/>
  <c r="F33" i="3"/>
  <c r="E41" i="3"/>
  <c r="CM10" i="1"/>
  <c r="CG62" i="1"/>
  <c r="CG70" i="1"/>
  <c r="CM78" i="1"/>
  <c r="CG90" i="1"/>
  <c r="CG94" i="1"/>
  <c r="CG134" i="1"/>
  <c r="CM138" i="1"/>
  <c r="CM150" i="1"/>
  <c r="CM221" i="1"/>
  <c r="CM225" i="1"/>
  <c r="CM9" i="1"/>
  <c r="CG17" i="1"/>
  <c r="CG21" i="1"/>
  <c r="CG25" i="1"/>
  <c r="CG29" i="1"/>
  <c r="CM33" i="1"/>
  <c r="CG37" i="1"/>
  <c r="CM45" i="1"/>
  <c r="CM49" i="1"/>
  <c r="CM53" i="1"/>
  <c r="CG61" i="1"/>
  <c r="CG65" i="1"/>
  <c r="CM183" i="1"/>
  <c r="CM73" i="1"/>
  <c r="CM77" i="1"/>
  <c r="CG81" i="1"/>
  <c r="CM85" i="1"/>
  <c r="CG162" i="1"/>
  <c r="CM97" i="1"/>
  <c r="CM101" i="1"/>
  <c r="CM105" i="1"/>
  <c r="CM88" i="1"/>
  <c r="CM117" i="1"/>
  <c r="CM121" i="1"/>
  <c r="CM125" i="1"/>
  <c r="CM129" i="1"/>
  <c r="CG133" i="1"/>
  <c r="CM137" i="1"/>
  <c r="CG145" i="1"/>
  <c r="CG149" i="1"/>
  <c r="CG156" i="1"/>
  <c r="CG160" i="1"/>
  <c r="CM164" i="1"/>
  <c r="CG172" i="1"/>
  <c r="CM176" i="1"/>
  <c r="CM180" i="1"/>
  <c r="CG188" i="1"/>
  <c r="CM192" i="1"/>
  <c r="CM196" i="1"/>
  <c r="CM204" i="1"/>
  <c r="CG113" i="1"/>
  <c r="CG216" i="1"/>
  <c r="CM224" i="1"/>
  <c r="CG228" i="1"/>
  <c r="CG232" i="1"/>
  <c r="CM236" i="1"/>
  <c r="CM240" i="1"/>
  <c r="CG244" i="1"/>
  <c r="CM248" i="1"/>
  <c r="CM252" i="1"/>
  <c r="CM256" i="1"/>
  <c r="CG260" i="1"/>
  <c r="CM263" i="1"/>
  <c r="CM267" i="1"/>
  <c r="CG270" i="1"/>
  <c r="CM6" i="1"/>
  <c r="CM14" i="1"/>
  <c r="CM22" i="1"/>
  <c r="CG30" i="1"/>
  <c r="CG38" i="1"/>
  <c r="CM50" i="1"/>
  <c r="CG74" i="1"/>
  <c r="CG98" i="1"/>
  <c r="CG106" i="1"/>
  <c r="CM110" i="1"/>
  <c r="CG118" i="1"/>
  <c r="CG13" i="1"/>
  <c r="CG146" i="1"/>
  <c r="CM165" i="1"/>
  <c r="CG173" i="1"/>
  <c r="CG181" i="1"/>
  <c r="CM189" i="1"/>
  <c r="CG197" i="1"/>
  <c r="CM205" i="1"/>
  <c r="CM209" i="1"/>
  <c r="CM233" i="1"/>
  <c r="CG249" i="1"/>
  <c r="CG257" i="1"/>
  <c r="CM8" i="1"/>
  <c r="CM16" i="1"/>
  <c r="CG24" i="1"/>
  <c r="CM32" i="1"/>
  <c r="CM36" i="1"/>
  <c r="CM68" i="1"/>
  <c r="CM76" i="1"/>
  <c r="CG84" i="1"/>
  <c r="CM112" i="1"/>
  <c r="CG69" i="1"/>
  <c r="CM155" i="1"/>
  <c r="CG167" i="1"/>
  <c r="CG199" i="1"/>
  <c r="CM207" i="1"/>
  <c r="CM219" i="1"/>
  <c r="CM231" i="1"/>
  <c r="CM251" i="1"/>
  <c r="CG266" i="1"/>
  <c r="CG89" i="1"/>
  <c r="CM208" i="1"/>
  <c r="CG42" i="1"/>
  <c r="CG46" i="1"/>
  <c r="CM54" i="1"/>
  <c r="CM58" i="1"/>
  <c r="CG82" i="1"/>
  <c r="CG130" i="1"/>
  <c r="CM157" i="1"/>
  <c r="CG161" i="1"/>
  <c r="CM169" i="1"/>
  <c r="CM177" i="1"/>
  <c r="CG18" i="1"/>
  <c r="CG193" i="1"/>
  <c r="CM254" i="1"/>
  <c r="CM229" i="1"/>
  <c r="CM241" i="1"/>
  <c r="CM245" i="1"/>
  <c r="CM253" i="1"/>
  <c r="CM261" i="1"/>
  <c r="CG12" i="1"/>
  <c r="CM28" i="1"/>
  <c r="CM40" i="1"/>
  <c r="CG48" i="1"/>
  <c r="CG126" i="1"/>
  <c r="CG72" i="1"/>
  <c r="CG80" i="1"/>
  <c r="CG123" i="1"/>
  <c r="CG100" i="1"/>
  <c r="CG128" i="1"/>
  <c r="CG159" i="1"/>
  <c r="CG171" i="1"/>
  <c r="CM195" i="1"/>
  <c r="CG203" i="1"/>
  <c r="CM227" i="1"/>
  <c r="CG235" i="1"/>
  <c r="CG255" i="1"/>
  <c r="CG7" i="1"/>
  <c r="CG15" i="1"/>
  <c r="CG23" i="1"/>
  <c r="CG35" i="1"/>
  <c r="CG39" i="1"/>
  <c r="CG47" i="1"/>
  <c r="CG51" i="1"/>
  <c r="CG55" i="1"/>
  <c r="CG63" i="1"/>
  <c r="CG67" i="1"/>
  <c r="CG71" i="1"/>
  <c r="CG79" i="1"/>
  <c r="CG83" i="1"/>
  <c r="CM87" i="1"/>
  <c r="CM103" i="1"/>
  <c r="CG111" i="1"/>
  <c r="CM66" i="1"/>
  <c r="CM127" i="1"/>
  <c r="CM135" i="1"/>
  <c r="CG139" i="1"/>
  <c r="CG143" i="1"/>
  <c r="CG151" i="1"/>
  <c r="CG64" i="1"/>
  <c r="CG166" i="1"/>
  <c r="CG170" i="1"/>
  <c r="CG174" i="1"/>
  <c r="CG178" i="1"/>
  <c r="CG182" i="1"/>
  <c r="CG34" i="1"/>
  <c r="CG194" i="1"/>
  <c r="CG198" i="1"/>
  <c r="CG210" i="1"/>
  <c r="CM214" i="1"/>
  <c r="CG230" i="1"/>
  <c r="CM238" i="1"/>
  <c r="CG246" i="1"/>
  <c r="CG250" i="1"/>
  <c r="CG201" i="1"/>
  <c r="CG258" i="1"/>
  <c r="CG262" i="1"/>
  <c r="CG265" i="1"/>
  <c r="CM268" i="1"/>
  <c r="C35" i="3" l="1"/>
  <c r="F34" i="3"/>
  <c r="E42" i="3"/>
  <c r="CG196" i="1"/>
  <c r="CG183" i="1"/>
  <c r="CG225" i="1"/>
  <c r="CG49" i="1"/>
  <c r="CG76" i="1"/>
  <c r="CG16" i="1"/>
  <c r="CG53" i="1"/>
  <c r="CG45" i="1"/>
  <c r="CG33" i="1"/>
  <c r="CG78" i="1"/>
  <c r="CG10" i="1"/>
  <c r="CG204" i="1"/>
  <c r="CG77" i="1"/>
  <c r="CG209" i="1"/>
  <c r="CG22" i="1"/>
  <c r="CG251" i="1"/>
  <c r="CG150" i="1"/>
  <c r="CG189" i="1"/>
  <c r="CG117" i="1"/>
  <c r="CG207" i="1"/>
  <c r="CG50" i="1"/>
  <c r="CG261" i="1"/>
  <c r="CG241" i="1"/>
  <c r="CG157" i="1"/>
  <c r="CG105" i="1"/>
  <c r="CG97" i="1"/>
  <c r="CG169" i="1"/>
  <c r="CG121" i="1"/>
  <c r="CG88" i="1"/>
  <c r="CG254" i="1"/>
  <c r="CG224" i="1"/>
  <c r="CG137" i="1"/>
  <c r="CG129" i="1"/>
  <c r="CG101" i="1"/>
  <c r="CM12" i="1"/>
  <c r="CG248" i="1"/>
  <c r="CG155" i="1"/>
  <c r="CG263" i="1"/>
  <c r="CG256" i="1"/>
  <c r="CG9" i="1"/>
  <c r="CG58" i="1"/>
  <c r="CG138" i="1"/>
  <c r="CM13" i="1"/>
  <c r="CM106" i="1"/>
  <c r="CM232" i="1"/>
  <c r="CG180" i="1"/>
  <c r="CG240" i="1"/>
  <c r="CG164" i="1"/>
  <c r="CG205" i="1"/>
  <c r="CG219" i="1"/>
  <c r="CM262" i="1"/>
  <c r="CM246" i="1"/>
  <c r="CM230" i="1"/>
  <c r="CM193" i="1"/>
  <c r="CM84" i="1"/>
  <c r="CG6" i="1"/>
  <c r="CG135" i="1"/>
  <c r="CG103" i="1"/>
  <c r="CG66" i="1"/>
  <c r="CG192" i="1"/>
  <c r="CG176" i="1"/>
  <c r="CM71" i="1"/>
  <c r="CM55" i="1"/>
  <c r="CM39" i="1"/>
  <c r="CM23" i="1"/>
  <c r="CM7" i="1"/>
  <c r="CM159" i="1"/>
  <c r="CM128" i="1"/>
  <c r="CG32" i="1"/>
  <c r="CM89" i="1"/>
  <c r="CM181" i="1"/>
  <c r="CM146" i="1"/>
  <c r="CM38" i="1"/>
  <c r="CM188" i="1"/>
  <c r="CM172" i="1"/>
  <c r="CM61" i="1"/>
  <c r="CM37" i="1"/>
  <c r="CM134" i="1"/>
  <c r="CG112" i="1"/>
  <c r="CM198" i="1"/>
  <c r="CM182" i="1"/>
  <c r="CM166" i="1"/>
  <c r="CM151" i="1"/>
  <c r="CG233" i="1"/>
  <c r="CM123" i="1"/>
  <c r="CM18" i="1"/>
  <c r="CG268" i="1"/>
  <c r="CG238" i="1"/>
  <c r="CG127" i="1"/>
  <c r="CG208" i="1"/>
  <c r="CG40" i="1"/>
  <c r="CG54" i="1"/>
  <c r="CM257" i="1"/>
  <c r="CG28" i="1"/>
  <c r="CK234" i="1"/>
  <c r="CL234" i="1"/>
  <c r="CH234" i="1"/>
  <c r="CI234" i="1"/>
  <c r="CK218" i="1"/>
  <c r="CL218" i="1"/>
  <c r="CH218" i="1"/>
  <c r="CI218" i="1"/>
  <c r="CK202" i="1"/>
  <c r="CL202" i="1"/>
  <c r="CH202" i="1"/>
  <c r="CI202" i="1"/>
  <c r="CK186" i="1"/>
  <c r="CL186" i="1"/>
  <c r="CH186" i="1"/>
  <c r="CI186" i="1"/>
  <c r="CK91" i="1"/>
  <c r="CL91" i="1"/>
  <c r="CH91" i="1"/>
  <c r="CI91" i="1"/>
  <c r="CK107" i="1"/>
  <c r="CL107" i="1"/>
  <c r="CH107" i="1"/>
  <c r="CI107" i="1"/>
  <c r="CK179" i="1"/>
  <c r="CL179" i="1"/>
  <c r="CH179" i="1"/>
  <c r="CI179" i="1"/>
  <c r="CK59" i="1"/>
  <c r="CL59" i="1"/>
  <c r="CH59" i="1"/>
  <c r="CI59" i="1"/>
  <c r="CK43" i="1"/>
  <c r="CL43" i="1"/>
  <c r="CH43" i="1"/>
  <c r="CI43" i="1"/>
  <c r="CL27" i="1"/>
  <c r="CH27" i="1"/>
  <c r="CI27" i="1"/>
  <c r="CK27" i="1"/>
  <c r="CL11" i="1"/>
  <c r="CH11" i="1"/>
  <c r="CK11" i="1"/>
  <c r="CI11" i="1"/>
  <c r="CL215" i="1"/>
  <c r="CH215" i="1"/>
  <c r="CI215" i="1"/>
  <c r="CK215" i="1"/>
  <c r="CL175" i="1"/>
  <c r="CH175" i="1"/>
  <c r="CI175" i="1"/>
  <c r="CK175" i="1"/>
  <c r="CL108" i="1"/>
  <c r="CH108" i="1"/>
  <c r="CI108" i="1"/>
  <c r="CK108" i="1"/>
  <c r="CL96" i="1"/>
  <c r="CK96" i="1"/>
  <c r="CH96" i="1"/>
  <c r="CI96" i="1"/>
  <c r="CK264" i="1"/>
  <c r="CL264" i="1"/>
  <c r="CH264" i="1"/>
  <c r="CI264" i="1"/>
  <c r="CK217" i="1"/>
  <c r="CL217" i="1"/>
  <c r="CH217" i="1"/>
  <c r="CI217" i="1"/>
  <c r="CL142" i="1"/>
  <c r="CK142" i="1"/>
  <c r="CH142" i="1"/>
  <c r="CI142" i="1"/>
  <c r="CL114" i="1"/>
  <c r="CH114" i="1"/>
  <c r="CK114" i="1"/>
  <c r="CI114" i="1"/>
  <c r="CL46" i="1"/>
  <c r="CK46" i="1"/>
  <c r="CH46" i="1"/>
  <c r="CI46" i="1"/>
  <c r="CK26" i="1"/>
  <c r="CL26" i="1"/>
  <c r="CH26" i="1"/>
  <c r="CI26" i="1"/>
  <c r="CL259" i="1"/>
  <c r="CI259" i="1"/>
  <c r="CH259" i="1"/>
  <c r="CK259" i="1"/>
  <c r="CL239" i="1"/>
  <c r="CI239" i="1"/>
  <c r="CK239" i="1"/>
  <c r="CH239" i="1"/>
  <c r="CK237" i="1"/>
  <c r="CL237" i="1"/>
  <c r="CH237" i="1"/>
  <c r="CI237" i="1"/>
  <c r="CK270" i="1"/>
  <c r="CL270" i="1"/>
  <c r="CH270" i="1"/>
  <c r="CI270" i="1"/>
  <c r="CI220" i="1"/>
  <c r="CK220" i="1"/>
  <c r="CL220" i="1"/>
  <c r="CH220" i="1"/>
  <c r="CI212" i="1"/>
  <c r="CK212" i="1"/>
  <c r="CH212" i="1"/>
  <c r="CL212" i="1"/>
  <c r="CK93" i="1"/>
  <c r="CL93" i="1"/>
  <c r="CI93" i="1"/>
  <c r="CH93" i="1"/>
  <c r="CK17" i="1"/>
  <c r="CL17" i="1"/>
  <c r="CI17" i="1"/>
  <c r="CH17" i="1"/>
  <c r="CK222" i="1"/>
  <c r="CL222" i="1"/>
  <c r="CH222" i="1"/>
  <c r="CI222" i="1"/>
  <c r="CM218" i="1"/>
  <c r="CG212" i="1"/>
  <c r="CK206" i="1"/>
  <c r="CL206" i="1"/>
  <c r="CH206" i="1"/>
  <c r="CI206" i="1"/>
  <c r="CM202" i="1"/>
  <c r="CM91" i="1"/>
  <c r="CK111" i="1"/>
  <c r="CH111" i="1"/>
  <c r="CI111" i="1"/>
  <c r="CL111" i="1"/>
  <c r="CM107" i="1"/>
  <c r="CK95" i="1"/>
  <c r="CH95" i="1"/>
  <c r="CI95" i="1"/>
  <c r="CL95" i="1"/>
  <c r="CM179" i="1"/>
  <c r="CK152" i="1"/>
  <c r="CL152" i="1"/>
  <c r="CH152" i="1"/>
  <c r="CI152" i="1"/>
  <c r="CK75" i="1"/>
  <c r="CL75" i="1"/>
  <c r="CH75" i="1"/>
  <c r="CI75" i="1"/>
  <c r="CL116" i="1"/>
  <c r="CH116" i="1"/>
  <c r="CI116" i="1"/>
  <c r="CK116" i="1"/>
  <c r="CL52" i="1"/>
  <c r="CH52" i="1"/>
  <c r="CI52" i="1"/>
  <c r="CK52" i="1"/>
  <c r="CL148" i="1"/>
  <c r="CH148" i="1"/>
  <c r="CI148" i="1"/>
  <c r="CK148" i="1"/>
  <c r="CL140" i="1"/>
  <c r="CH140" i="1"/>
  <c r="CI140" i="1"/>
  <c r="CK140" i="1"/>
  <c r="CL60" i="1"/>
  <c r="CH60" i="1"/>
  <c r="CI60" i="1"/>
  <c r="CK60" i="1"/>
  <c r="CK249" i="1"/>
  <c r="CL249" i="1"/>
  <c r="CH249" i="1"/>
  <c r="CI249" i="1"/>
  <c r="CK145" i="1"/>
  <c r="CI145" i="1"/>
  <c r="CL145" i="1"/>
  <c r="CH145" i="1"/>
  <c r="CG59" i="1"/>
  <c r="CG43" i="1"/>
  <c r="CG60" i="1"/>
  <c r="CM265" i="1"/>
  <c r="CK158" i="1"/>
  <c r="CH158" i="1"/>
  <c r="CL158" i="1"/>
  <c r="CI158" i="1"/>
  <c r="CK143" i="1"/>
  <c r="CH143" i="1"/>
  <c r="CI143" i="1"/>
  <c r="CL143" i="1"/>
  <c r="CM43" i="1"/>
  <c r="CK31" i="1"/>
  <c r="CH31" i="1"/>
  <c r="CI31" i="1"/>
  <c r="CL31" i="1"/>
  <c r="CM27" i="1"/>
  <c r="CL15" i="1"/>
  <c r="CK15" i="1"/>
  <c r="CH15" i="1"/>
  <c r="CI15" i="1"/>
  <c r="CM11" i="1"/>
  <c r="CL243" i="1"/>
  <c r="CI243" i="1"/>
  <c r="CK243" i="1"/>
  <c r="CH243" i="1"/>
  <c r="CL223" i="1"/>
  <c r="CH223" i="1"/>
  <c r="CI223" i="1"/>
  <c r="CK223" i="1"/>
  <c r="CM215" i="1"/>
  <c r="CL203" i="1"/>
  <c r="CH203" i="1"/>
  <c r="CI203" i="1"/>
  <c r="CK203" i="1"/>
  <c r="CH190" i="1"/>
  <c r="CK190" i="1"/>
  <c r="CI190" i="1"/>
  <c r="CL190" i="1"/>
  <c r="CM175" i="1"/>
  <c r="CK163" i="1"/>
  <c r="CH163" i="1"/>
  <c r="CL163" i="1"/>
  <c r="CI163" i="1"/>
  <c r="CL144" i="1"/>
  <c r="CK144" i="1"/>
  <c r="CH144" i="1"/>
  <c r="CI144" i="1"/>
  <c r="CL124" i="1"/>
  <c r="CH124" i="1"/>
  <c r="CI124" i="1"/>
  <c r="CK124" i="1"/>
  <c r="CM116" i="1"/>
  <c r="CM96" i="1"/>
  <c r="CL72" i="1"/>
  <c r="CK72" i="1"/>
  <c r="CH72" i="1"/>
  <c r="CI72" i="1"/>
  <c r="CM126" i="1"/>
  <c r="CM52" i="1"/>
  <c r="CK253" i="1"/>
  <c r="CL253" i="1"/>
  <c r="CH253" i="1"/>
  <c r="CI253" i="1"/>
  <c r="CL18" i="1"/>
  <c r="CK18" i="1"/>
  <c r="CH18" i="1"/>
  <c r="CI18" i="1"/>
  <c r="CL161" i="1"/>
  <c r="CK161" i="1"/>
  <c r="CH161" i="1"/>
  <c r="CI161" i="1"/>
  <c r="CM142" i="1"/>
  <c r="CL122" i="1"/>
  <c r="CH122" i="1"/>
  <c r="CK122" i="1"/>
  <c r="CI122" i="1"/>
  <c r="CG108" i="1"/>
  <c r="CM46" i="1"/>
  <c r="CM26" i="1"/>
  <c r="CM259" i="1"/>
  <c r="CL247" i="1"/>
  <c r="CI247" i="1"/>
  <c r="CK247" i="1"/>
  <c r="CH247" i="1"/>
  <c r="CG217" i="1"/>
  <c r="CK154" i="1"/>
  <c r="CH154" i="1"/>
  <c r="CL154" i="1"/>
  <c r="CI154" i="1"/>
  <c r="CH167" i="1"/>
  <c r="CK167" i="1"/>
  <c r="CI167" i="1"/>
  <c r="CL167" i="1"/>
  <c r="CG247" i="1"/>
  <c r="CK197" i="1"/>
  <c r="CL197" i="1"/>
  <c r="CH197" i="1"/>
  <c r="CI197" i="1"/>
  <c r="CG144" i="1"/>
  <c r="CG124" i="1"/>
  <c r="CG36" i="1"/>
  <c r="CM270" i="1"/>
  <c r="CK260" i="1"/>
  <c r="CH260" i="1"/>
  <c r="CI260" i="1"/>
  <c r="CL260" i="1"/>
  <c r="CK244" i="1"/>
  <c r="CH244" i="1"/>
  <c r="CI244" i="1"/>
  <c r="CL244" i="1"/>
  <c r="CI228" i="1"/>
  <c r="CK228" i="1"/>
  <c r="CH228" i="1"/>
  <c r="CL228" i="1"/>
  <c r="CG218" i="1"/>
  <c r="CI200" i="1"/>
  <c r="CK200" i="1"/>
  <c r="CH200" i="1"/>
  <c r="CL200" i="1"/>
  <c r="CK184" i="1"/>
  <c r="CL184" i="1"/>
  <c r="CI184" i="1"/>
  <c r="CH184" i="1"/>
  <c r="CK168" i="1"/>
  <c r="CL168" i="1"/>
  <c r="CI168" i="1"/>
  <c r="CH168" i="1"/>
  <c r="CK160" i="1"/>
  <c r="CI160" i="1"/>
  <c r="CL160" i="1"/>
  <c r="CH160" i="1"/>
  <c r="CG158" i="1"/>
  <c r="CK141" i="1"/>
  <c r="CL141" i="1"/>
  <c r="CI141" i="1"/>
  <c r="CH141" i="1"/>
  <c r="CK133" i="1"/>
  <c r="CL133" i="1"/>
  <c r="CI133" i="1"/>
  <c r="CH133" i="1"/>
  <c r="CK109" i="1"/>
  <c r="CL109" i="1"/>
  <c r="CI109" i="1"/>
  <c r="CH109" i="1"/>
  <c r="CK65" i="1"/>
  <c r="CI65" i="1"/>
  <c r="CL65" i="1"/>
  <c r="CH65" i="1"/>
  <c r="CK57" i="1"/>
  <c r="CI57" i="1"/>
  <c r="CL57" i="1"/>
  <c r="CH57" i="1"/>
  <c r="CK41" i="1"/>
  <c r="CI41" i="1"/>
  <c r="CL41" i="1"/>
  <c r="CH41" i="1"/>
  <c r="CL185" i="1"/>
  <c r="CI185" i="1"/>
  <c r="CH185" i="1"/>
  <c r="CK185" i="1"/>
  <c r="CK213" i="1"/>
  <c r="CL213" i="1"/>
  <c r="CH213" i="1"/>
  <c r="CI213" i="1"/>
  <c r="CM90" i="1"/>
  <c r="CK242" i="1"/>
  <c r="CL242" i="1"/>
  <c r="CH242" i="1"/>
  <c r="CI242" i="1"/>
  <c r="CK226" i="1"/>
  <c r="CL226" i="1"/>
  <c r="CH226" i="1"/>
  <c r="CI226" i="1"/>
  <c r="CM222" i="1"/>
  <c r="CK210" i="1"/>
  <c r="CL210" i="1"/>
  <c r="CH210" i="1"/>
  <c r="CI210" i="1"/>
  <c r="CM206" i="1"/>
  <c r="CG200" i="1"/>
  <c r="CK194" i="1"/>
  <c r="CL194" i="1"/>
  <c r="CH194" i="1"/>
  <c r="CI194" i="1"/>
  <c r="CM34" i="1"/>
  <c r="CG184" i="1"/>
  <c r="CH178" i="1"/>
  <c r="CK178" i="1"/>
  <c r="CI178" i="1"/>
  <c r="CL178" i="1"/>
  <c r="CM174" i="1"/>
  <c r="CG168" i="1"/>
  <c r="CH64" i="1"/>
  <c r="CK64" i="1"/>
  <c r="CI64" i="1"/>
  <c r="CL64" i="1"/>
  <c r="CM158" i="1"/>
  <c r="CK147" i="1"/>
  <c r="CL147" i="1"/>
  <c r="CH147" i="1"/>
  <c r="CI147" i="1"/>
  <c r="CM143" i="1"/>
  <c r="CK131" i="1"/>
  <c r="CL131" i="1"/>
  <c r="CH131" i="1"/>
  <c r="CI131" i="1"/>
  <c r="CK115" i="1"/>
  <c r="CL115" i="1"/>
  <c r="CH115" i="1"/>
  <c r="CI115" i="1"/>
  <c r="CM111" i="1"/>
  <c r="CK99" i="1"/>
  <c r="CL99" i="1"/>
  <c r="CH99" i="1"/>
  <c r="CI99" i="1"/>
  <c r="CM95" i="1"/>
  <c r="CK83" i="1"/>
  <c r="CL83" i="1"/>
  <c r="CH83" i="1"/>
  <c r="CI83" i="1"/>
  <c r="CM79" i="1"/>
  <c r="CG73" i="1"/>
  <c r="CK67" i="1"/>
  <c r="CL67" i="1"/>
  <c r="CH67" i="1"/>
  <c r="CI67" i="1"/>
  <c r="CM63" i="1"/>
  <c r="CG57" i="1"/>
  <c r="CK51" i="1"/>
  <c r="CL51" i="1"/>
  <c r="CH51" i="1"/>
  <c r="CI51" i="1"/>
  <c r="CM47" i="1"/>
  <c r="CG41" i="1"/>
  <c r="CK35" i="1"/>
  <c r="CL35" i="1"/>
  <c r="CH35" i="1"/>
  <c r="CI35" i="1"/>
  <c r="CM31" i="1"/>
  <c r="CL19" i="1"/>
  <c r="CK19" i="1"/>
  <c r="CH19" i="1"/>
  <c r="CI19" i="1"/>
  <c r="CM15" i="1"/>
  <c r="CM255" i="1"/>
  <c r="CM243" i="1"/>
  <c r="CM223" i="1"/>
  <c r="CL211" i="1"/>
  <c r="CH211" i="1"/>
  <c r="CI211" i="1"/>
  <c r="CK211" i="1"/>
  <c r="CM203" i="1"/>
  <c r="CL191" i="1"/>
  <c r="CH191" i="1"/>
  <c r="CI191" i="1"/>
  <c r="CK191" i="1"/>
  <c r="CM190" i="1"/>
  <c r="CH171" i="1"/>
  <c r="CI171" i="1"/>
  <c r="CK171" i="1"/>
  <c r="CL171" i="1"/>
  <c r="CM163" i="1"/>
  <c r="CH119" i="1"/>
  <c r="CK119" i="1"/>
  <c r="CI119" i="1"/>
  <c r="CL119" i="1"/>
  <c r="CM144" i="1"/>
  <c r="CM124" i="1"/>
  <c r="CG114" i="1"/>
  <c r="CL100" i="1"/>
  <c r="CH100" i="1"/>
  <c r="CI100" i="1"/>
  <c r="CK100" i="1"/>
  <c r="CL80" i="1"/>
  <c r="CK80" i="1"/>
  <c r="CH80" i="1"/>
  <c r="CI80" i="1"/>
  <c r="CM72" i="1"/>
  <c r="CL48" i="1"/>
  <c r="CK48" i="1"/>
  <c r="CH48" i="1"/>
  <c r="CI48" i="1"/>
  <c r="CK241" i="1"/>
  <c r="CL241" i="1"/>
  <c r="CH241" i="1"/>
  <c r="CI241" i="1"/>
  <c r="CK193" i="1"/>
  <c r="CL193" i="1"/>
  <c r="CH193" i="1"/>
  <c r="CI193" i="1"/>
  <c r="CG190" i="1"/>
  <c r="CM161" i="1"/>
  <c r="CG119" i="1"/>
  <c r="CG140" i="1"/>
  <c r="CL130" i="1"/>
  <c r="CH130" i="1"/>
  <c r="CK130" i="1"/>
  <c r="CI130" i="1"/>
  <c r="CM122" i="1"/>
  <c r="CL102" i="1"/>
  <c r="CK102" i="1"/>
  <c r="CH102" i="1"/>
  <c r="CI102" i="1"/>
  <c r="CL82" i="1"/>
  <c r="CH82" i="1"/>
  <c r="CK82" i="1"/>
  <c r="CI82" i="1"/>
  <c r="CL42" i="1"/>
  <c r="CH42" i="1"/>
  <c r="CI42" i="1"/>
  <c r="CK42" i="1"/>
  <c r="CL269" i="1"/>
  <c r="CK269" i="1"/>
  <c r="CH269" i="1"/>
  <c r="CI269" i="1"/>
  <c r="CM247" i="1"/>
  <c r="CG237" i="1"/>
  <c r="CG213" i="1"/>
  <c r="CL199" i="1"/>
  <c r="CH199" i="1"/>
  <c r="CI199" i="1"/>
  <c r="CK199" i="1"/>
  <c r="CL187" i="1"/>
  <c r="CH187" i="1"/>
  <c r="CI187" i="1"/>
  <c r="CK187" i="1"/>
  <c r="CM154" i="1"/>
  <c r="CM167" i="1"/>
  <c r="CL132" i="1"/>
  <c r="CH132" i="1"/>
  <c r="CI132" i="1"/>
  <c r="CK132" i="1"/>
  <c r="CL69" i="1"/>
  <c r="CK69" i="1"/>
  <c r="CH69" i="1"/>
  <c r="CI69" i="1"/>
  <c r="CG102" i="1"/>
  <c r="CL56" i="1"/>
  <c r="CK56" i="1"/>
  <c r="CH56" i="1"/>
  <c r="CI56" i="1"/>
  <c r="CL44" i="1"/>
  <c r="CH44" i="1"/>
  <c r="CI44" i="1"/>
  <c r="CK44" i="1"/>
  <c r="CK24" i="1"/>
  <c r="CL24" i="1"/>
  <c r="CH24" i="1"/>
  <c r="CI24" i="1"/>
  <c r="CG243" i="1"/>
  <c r="CK233" i="1"/>
  <c r="CL233" i="1"/>
  <c r="CH233" i="1"/>
  <c r="CI233" i="1"/>
  <c r="CM197" i="1"/>
  <c r="CG187" i="1"/>
  <c r="CL173" i="1"/>
  <c r="CH173" i="1"/>
  <c r="CK173" i="1"/>
  <c r="CI173" i="1"/>
  <c r="CG132" i="1"/>
  <c r="CL118" i="1"/>
  <c r="CK118" i="1"/>
  <c r="CH118" i="1"/>
  <c r="CI118" i="1"/>
  <c r="CL98" i="1"/>
  <c r="CH98" i="1"/>
  <c r="CK98" i="1"/>
  <c r="CI98" i="1"/>
  <c r="CL74" i="1"/>
  <c r="CH74" i="1"/>
  <c r="CI74" i="1"/>
  <c r="CK74" i="1"/>
  <c r="CG56" i="1"/>
  <c r="CG44" i="1"/>
  <c r="CK30" i="1"/>
  <c r="CL30" i="1"/>
  <c r="CH30" i="1"/>
  <c r="CI30" i="1"/>
  <c r="CM260" i="1"/>
  <c r="CM244" i="1"/>
  <c r="CG242" i="1"/>
  <c r="CG234" i="1"/>
  <c r="CM228" i="1"/>
  <c r="CG226" i="1"/>
  <c r="CI216" i="1"/>
  <c r="CK216" i="1"/>
  <c r="CH216" i="1"/>
  <c r="CL216" i="1"/>
  <c r="CI113" i="1"/>
  <c r="CK113" i="1"/>
  <c r="CL113" i="1"/>
  <c r="CH113" i="1"/>
  <c r="CG206" i="1"/>
  <c r="CM200" i="1"/>
  <c r="CM184" i="1"/>
  <c r="CK176" i="1"/>
  <c r="CI176" i="1"/>
  <c r="CL176" i="1"/>
  <c r="CH176" i="1"/>
  <c r="CM168" i="1"/>
  <c r="CM160" i="1"/>
  <c r="CK156" i="1"/>
  <c r="CI156" i="1"/>
  <c r="CL156" i="1"/>
  <c r="CH156" i="1"/>
  <c r="CK149" i="1"/>
  <c r="CL149" i="1"/>
  <c r="CI149" i="1"/>
  <c r="CH149" i="1"/>
  <c r="CM141" i="1"/>
  <c r="CM133" i="1"/>
  <c r="CG131" i="1"/>
  <c r="CG152" i="1"/>
  <c r="CG115" i="1"/>
  <c r="CM109" i="1"/>
  <c r="CG107" i="1"/>
  <c r="CG99" i="1"/>
  <c r="CK162" i="1"/>
  <c r="CI162" i="1"/>
  <c r="CL162" i="1"/>
  <c r="CH162" i="1"/>
  <c r="CK81" i="1"/>
  <c r="CI81" i="1"/>
  <c r="CL81" i="1"/>
  <c r="CH81" i="1"/>
  <c r="CM65" i="1"/>
  <c r="CM57" i="1"/>
  <c r="CM41" i="1"/>
  <c r="CL29" i="1"/>
  <c r="CK29" i="1"/>
  <c r="CI29" i="1"/>
  <c r="CH29" i="1"/>
  <c r="CK21" i="1"/>
  <c r="CL21" i="1"/>
  <c r="CI21" i="1"/>
  <c r="CH21" i="1"/>
  <c r="CM185" i="1"/>
  <c r="CG11" i="1"/>
  <c r="CM213" i="1"/>
  <c r="CL94" i="1"/>
  <c r="CK94" i="1"/>
  <c r="CH94" i="1"/>
  <c r="CI94" i="1"/>
  <c r="CL70" i="1"/>
  <c r="CK70" i="1"/>
  <c r="CH70" i="1"/>
  <c r="CI70" i="1"/>
  <c r="CL62" i="1"/>
  <c r="CK62" i="1"/>
  <c r="CH62" i="1"/>
  <c r="CI62" i="1"/>
  <c r="CK265" i="1"/>
  <c r="CL265" i="1"/>
  <c r="CH265" i="1"/>
  <c r="CI265" i="1"/>
  <c r="CK250" i="1"/>
  <c r="CL250" i="1"/>
  <c r="CH250" i="1"/>
  <c r="CI250" i="1"/>
  <c r="CK170" i="1"/>
  <c r="CL170" i="1"/>
  <c r="CH170" i="1"/>
  <c r="CI170" i="1"/>
  <c r="CK139" i="1"/>
  <c r="CL139" i="1"/>
  <c r="CH139" i="1"/>
  <c r="CI139" i="1"/>
  <c r="CL235" i="1"/>
  <c r="CI235" i="1"/>
  <c r="CK235" i="1"/>
  <c r="CH235" i="1"/>
  <c r="CL195" i="1"/>
  <c r="CH195" i="1"/>
  <c r="CI195" i="1"/>
  <c r="CK195" i="1"/>
  <c r="CL136" i="1"/>
  <c r="CK136" i="1"/>
  <c r="CH136" i="1"/>
  <c r="CI136" i="1"/>
  <c r="CL126" i="1"/>
  <c r="CK126" i="1"/>
  <c r="CH126" i="1"/>
  <c r="CI126" i="1"/>
  <c r="CL20" i="1"/>
  <c r="CH20" i="1"/>
  <c r="CI20" i="1"/>
  <c r="CK20" i="1"/>
  <c r="CL266" i="1"/>
  <c r="CK266" i="1"/>
  <c r="CH266" i="1"/>
  <c r="CI266" i="1"/>
  <c r="CL104" i="1"/>
  <c r="CK104" i="1"/>
  <c r="CH104" i="1"/>
  <c r="CI104" i="1"/>
  <c r="CL92" i="1"/>
  <c r="CH92" i="1"/>
  <c r="CI92" i="1"/>
  <c r="CK92" i="1"/>
  <c r="CK8" i="1"/>
  <c r="CL8" i="1"/>
  <c r="CH8" i="1"/>
  <c r="CI8" i="1"/>
  <c r="CG116" i="1"/>
  <c r="CL86" i="1"/>
  <c r="CK86" i="1"/>
  <c r="CH86" i="1"/>
  <c r="CI86" i="1"/>
  <c r="CK14" i="1"/>
  <c r="CL14" i="1"/>
  <c r="CH14" i="1"/>
  <c r="CI14" i="1"/>
  <c r="CG202" i="1"/>
  <c r="CG186" i="1"/>
  <c r="CK85" i="1"/>
  <c r="CL85" i="1"/>
  <c r="CI85" i="1"/>
  <c r="CH85" i="1"/>
  <c r="CG75" i="1"/>
  <c r="CK25" i="1"/>
  <c r="CI25" i="1"/>
  <c r="CL25" i="1"/>
  <c r="CH25" i="1"/>
  <c r="CL153" i="1"/>
  <c r="CK153" i="1"/>
  <c r="CH153" i="1"/>
  <c r="CI153" i="1"/>
  <c r="CL90" i="1"/>
  <c r="CH90" i="1"/>
  <c r="CK90" i="1"/>
  <c r="CI90" i="1"/>
  <c r="CL78" i="1"/>
  <c r="CK78" i="1"/>
  <c r="CH78" i="1"/>
  <c r="CI78" i="1"/>
  <c r="CL120" i="1"/>
  <c r="CH120" i="1"/>
  <c r="CI120" i="1"/>
  <c r="CK120" i="1"/>
  <c r="CK268" i="1"/>
  <c r="CL268" i="1"/>
  <c r="CI268" i="1"/>
  <c r="CH268" i="1"/>
  <c r="CK201" i="1"/>
  <c r="CL201" i="1"/>
  <c r="CH201" i="1"/>
  <c r="CI201" i="1"/>
  <c r="CM250" i="1"/>
  <c r="CK238" i="1"/>
  <c r="CL238" i="1"/>
  <c r="CH238" i="1"/>
  <c r="CI238" i="1"/>
  <c r="CM234" i="1"/>
  <c r="CK34" i="1"/>
  <c r="CL34" i="1"/>
  <c r="CH34" i="1"/>
  <c r="CI34" i="1"/>
  <c r="CM186" i="1"/>
  <c r="CK174" i="1"/>
  <c r="CH174" i="1"/>
  <c r="CL174" i="1"/>
  <c r="CI174" i="1"/>
  <c r="CM170" i="1"/>
  <c r="CM139" i="1"/>
  <c r="CK127" i="1"/>
  <c r="CH127" i="1"/>
  <c r="CI127" i="1"/>
  <c r="CL127" i="1"/>
  <c r="CM152" i="1"/>
  <c r="CG85" i="1"/>
  <c r="CK79" i="1"/>
  <c r="CH79" i="1"/>
  <c r="CI79" i="1"/>
  <c r="CL79" i="1"/>
  <c r="CM75" i="1"/>
  <c r="CK63" i="1"/>
  <c r="CH63" i="1"/>
  <c r="CI63" i="1"/>
  <c r="CL63" i="1"/>
  <c r="CM59" i="1"/>
  <c r="CK47" i="1"/>
  <c r="CH47" i="1"/>
  <c r="CI47" i="1"/>
  <c r="CL47" i="1"/>
  <c r="CL255" i="1"/>
  <c r="CI255" i="1"/>
  <c r="CK255" i="1"/>
  <c r="CH255" i="1"/>
  <c r="CM235" i="1"/>
  <c r="CM136" i="1"/>
  <c r="CG86" i="1"/>
  <c r="CL40" i="1"/>
  <c r="CK40" i="1"/>
  <c r="CH40" i="1"/>
  <c r="CI40" i="1"/>
  <c r="CK28" i="1"/>
  <c r="CL28" i="1"/>
  <c r="CH28" i="1"/>
  <c r="CI28" i="1"/>
  <c r="CM20" i="1"/>
  <c r="CK261" i="1"/>
  <c r="CL261" i="1"/>
  <c r="CH261" i="1"/>
  <c r="CI261" i="1"/>
  <c r="CK229" i="1"/>
  <c r="CL229" i="1"/>
  <c r="CH229" i="1"/>
  <c r="CI229" i="1"/>
  <c r="CG215" i="1"/>
  <c r="CG175" i="1"/>
  <c r="CM114" i="1"/>
  <c r="CG96" i="1"/>
  <c r="CL54" i="1"/>
  <c r="CK54" i="1"/>
  <c r="CH54" i="1"/>
  <c r="CI54" i="1"/>
  <c r="CL208" i="1"/>
  <c r="CH208" i="1"/>
  <c r="CI208" i="1"/>
  <c r="CK208" i="1"/>
  <c r="CM266" i="1"/>
  <c r="CM239" i="1"/>
  <c r="CG229" i="1"/>
  <c r="CH155" i="1"/>
  <c r="CI155" i="1"/>
  <c r="CK155" i="1"/>
  <c r="CL155" i="1"/>
  <c r="CM148" i="1"/>
  <c r="CL112" i="1"/>
  <c r="CK112" i="1"/>
  <c r="CH112" i="1"/>
  <c r="CI112" i="1"/>
  <c r="CM104" i="1"/>
  <c r="CM92" i="1"/>
  <c r="CL68" i="1"/>
  <c r="CH68" i="1"/>
  <c r="CI68" i="1"/>
  <c r="CK68" i="1"/>
  <c r="CM60" i="1"/>
  <c r="CL36" i="1"/>
  <c r="CH36" i="1"/>
  <c r="CI36" i="1"/>
  <c r="CK36" i="1"/>
  <c r="CK16" i="1"/>
  <c r="CH16" i="1"/>
  <c r="CL16" i="1"/>
  <c r="CI16" i="1"/>
  <c r="CK257" i="1"/>
  <c r="CL257" i="1"/>
  <c r="CH257" i="1"/>
  <c r="CI257" i="1"/>
  <c r="CK209" i="1"/>
  <c r="CL209" i="1"/>
  <c r="CH209" i="1"/>
  <c r="CI209" i="1"/>
  <c r="CK189" i="1"/>
  <c r="CL189" i="1"/>
  <c r="CH189" i="1"/>
  <c r="CI189" i="1"/>
  <c r="CG154" i="1"/>
  <c r="CL165" i="1"/>
  <c r="CK165" i="1"/>
  <c r="CH165" i="1"/>
  <c r="CI165" i="1"/>
  <c r="CG136" i="1"/>
  <c r="CL110" i="1"/>
  <c r="CK110" i="1"/>
  <c r="CH110" i="1"/>
  <c r="CI110" i="1"/>
  <c r="CG104" i="1"/>
  <c r="CM86" i="1"/>
  <c r="CG68" i="1"/>
  <c r="CK22" i="1"/>
  <c r="CL22" i="1"/>
  <c r="CH22" i="1"/>
  <c r="CI22" i="1"/>
  <c r="CK267" i="1"/>
  <c r="CH267" i="1"/>
  <c r="CL267" i="1"/>
  <c r="CI267" i="1"/>
  <c r="CK252" i="1"/>
  <c r="CH252" i="1"/>
  <c r="CL252" i="1"/>
  <c r="CI252" i="1"/>
  <c r="CK236" i="1"/>
  <c r="CH236" i="1"/>
  <c r="CL236" i="1"/>
  <c r="CI236" i="1"/>
  <c r="CM220" i="1"/>
  <c r="CM212" i="1"/>
  <c r="CI192" i="1"/>
  <c r="CK192" i="1"/>
  <c r="CL192" i="1"/>
  <c r="CH192" i="1"/>
  <c r="CM145" i="1"/>
  <c r="CK125" i="1"/>
  <c r="CL125" i="1"/>
  <c r="CI125" i="1"/>
  <c r="CH125" i="1"/>
  <c r="CK117" i="1"/>
  <c r="CL117" i="1"/>
  <c r="CI117" i="1"/>
  <c r="CH117" i="1"/>
  <c r="CK101" i="1"/>
  <c r="CL101" i="1"/>
  <c r="CI101" i="1"/>
  <c r="CH101" i="1"/>
  <c r="CM93" i="1"/>
  <c r="CG179" i="1"/>
  <c r="CK73" i="1"/>
  <c r="CI73" i="1"/>
  <c r="CL73" i="1"/>
  <c r="CH73" i="1"/>
  <c r="CK49" i="1"/>
  <c r="CI49" i="1"/>
  <c r="CL49" i="1"/>
  <c r="CH49" i="1"/>
  <c r="CK33" i="1"/>
  <c r="CI33" i="1"/>
  <c r="CL33" i="1"/>
  <c r="CH33" i="1"/>
  <c r="CG31" i="1"/>
  <c r="CM25" i="1"/>
  <c r="CM17" i="1"/>
  <c r="CK221" i="1"/>
  <c r="CL221" i="1"/>
  <c r="CH221" i="1"/>
  <c r="CI221" i="1"/>
  <c r="CL150" i="1"/>
  <c r="CK150" i="1"/>
  <c r="CH150" i="1"/>
  <c r="CI150" i="1"/>
  <c r="CL138" i="1"/>
  <c r="CH138" i="1"/>
  <c r="CI138" i="1"/>
  <c r="CK138" i="1"/>
  <c r="CM120" i="1"/>
  <c r="CK10" i="1"/>
  <c r="CL10" i="1"/>
  <c r="CH10" i="1"/>
  <c r="CI10" i="1"/>
  <c r="CK258" i="1"/>
  <c r="CL258" i="1"/>
  <c r="CH258" i="1"/>
  <c r="CI258" i="1"/>
  <c r="CM201" i="1"/>
  <c r="CG267" i="1"/>
  <c r="CK262" i="1"/>
  <c r="CL262" i="1"/>
  <c r="CH262" i="1"/>
  <c r="CI262" i="1"/>
  <c r="CM258" i="1"/>
  <c r="CG252" i="1"/>
  <c r="CK246" i="1"/>
  <c r="CL246" i="1"/>
  <c r="CH246" i="1"/>
  <c r="CI246" i="1"/>
  <c r="CM242" i="1"/>
  <c r="CG236" i="1"/>
  <c r="CK230" i="1"/>
  <c r="CL230" i="1"/>
  <c r="CH230" i="1"/>
  <c r="CI230" i="1"/>
  <c r="CM226" i="1"/>
  <c r="CG220" i="1"/>
  <c r="CK214" i="1"/>
  <c r="CL214" i="1"/>
  <c r="CH214" i="1"/>
  <c r="CI214" i="1"/>
  <c r="CM210" i="1"/>
  <c r="CK198" i="1"/>
  <c r="CL198" i="1"/>
  <c r="CH198" i="1"/>
  <c r="CI198" i="1"/>
  <c r="CM194" i="1"/>
  <c r="CL182" i="1"/>
  <c r="CH182" i="1"/>
  <c r="CI182" i="1"/>
  <c r="CK182" i="1"/>
  <c r="CM178" i="1"/>
  <c r="CL166" i="1"/>
  <c r="CH166" i="1"/>
  <c r="CI166" i="1"/>
  <c r="CK166" i="1"/>
  <c r="CM64" i="1"/>
  <c r="CL151" i="1"/>
  <c r="CH151" i="1"/>
  <c r="CI151" i="1"/>
  <c r="CK151" i="1"/>
  <c r="CM147" i="1"/>
  <c r="CG141" i="1"/>
  <c r="CK135" i="1"/>
  <c r="CH135" i="1"/>
  <c r="CI135" i="1"/>
  <c r="CL135" i="1"/>
  <c r="CM131" i="1"/>
  <c r="CG125" i="1"/>
  <c r="CK66" i="1"/>
  <c r="CH66" i="1"/>
  <c r="CI66" i="1"/>
  <c r="CL66" i="1"/>
  <c r="CM115" i="1"/>
  <c r="CG109" i="1"/>
  <c r="CK103" i="1"/>
  <c r="CH103" i="1"/>
  <c r="CI103" i="1"/>
  <c r="CL103" i="1"/>
  <c r="CM99" i="1"/>
  <c r="CG93" i="1"/>
  <c r="CK87" i="1"/>
  <c r="CH87" i="1"/>
  <c r="CI87" i="1"/>
  <c r="CL87" i="1"/>
  <c r="CM83" i="1"/>
  <c r="CK71" i="1"/>
  <c r="CH71" i="1"/>
  <c r="CI71" i="1"/>
  <c r="CL71" i="1"/>
  <c r="CM67" i="1"/>
  <c r="CK55" i="1"/>
  <c r="CH55" i="1"/>
  <c r="CI55" i="1"/>
  <c r="CL55" i="1"/>
  <c r="CM51" i="1"/>
  <c r="CK39" i="1"/>
  <c r="CH39" i="1"/>
  <c r="CI39" i="1"/>
  <c r="CL39" i="1"/>
  <c r="CM35" i="1"/>
  <c r="CL23" i="1"/>
  <c r="CK23" i="1"/>
  <c r="CH23" i="1"/>
  <c r="CI23" i="1"/>
  <c r="CM19" i="1"/>
  <c r="CG185" i="1"/>
  <c r="CL7" i="1"/>
  <c r="CK7" i="1"/>
  <c r="CH7" i="1"/>
  <c r="CI7" i="1"/>
  <c r="CG264" i="1"/>
  <c r="CG253" i="1"/>
  <c r="CL227" i="1"/>
  <c r="CH227" i="1"/>
  <c r="CI227" i="1"/>
  <c r="CK227" i="1"/>
  <c r="CG221" i="1"/>
  <c r="CM211" i="1"/>
  <c r="CM191" i="1"/>
  <c r="CM171" i="1"/>
  <c r="CL159" i="1"/>
  <c r="CH159" i="1"/>
  <c r="CI159" i="1"/>
  <c r="CK159" i="1"/>
  <c r="CM119" i="1"/>
  <c r="CG142" i="1"/>
  <c r="CL128" i="1"/>
  <c r="CK128" i="1"/>
  <c r="CH128" i="1"/>
  <c r="CI128" i="1"/>
  <c r="CG122" i="1"/>
  <c r="CM108" i="1"/>
  <c r="CM100" i="1"/>
  <c r="CL123" i="1"/>
  <c r="CK123" i="1"/>
  <c r="CH123" i="1"/>
  <c r="CI123" i="1"/>
  <c r="CM80" i="1"/>
  <c r="CM48" i="1"/>
  <c r="CG26" i="1"/>
  <c r="CK12" i="1"/>
  <c r="CL12" i="1"/>
  <c r="CH12" i="1"/>
  <c r="CI12" i="1"/>
  <c r="CM264" i="1"/>
  <c r="CG259" i="1"/>
  <c r="CK245" i="1"/>
  <c r="CL245" i="1"/>
  <c r="CH245" i="1"/>
  <c r="CI245" i="1"/>
  <c r="CG239" i="1"/>
  <c r="CG227" i="1"/>
  <c r="CM217" i="1"/>
  <c r="CK254" i="1"/>
  <c r="CL254" i="1"/>
  <c r="CH254" i="1"/>
  <c r="CI254" i="1"/>
  <c r="CG191" i="1"/>
  <c r="CL177" i="1"/>
  <c r="CK177" i="1"/>
  <c r="CH177" i="1"/>
  <c r="CI177" i="1"/>
  <c r="CL169" i="1"/>
  <c r="CK169" i="1"/>
  <c r="CH169" i="1"/>
  <c r="CI169" i="1"/>
  <c r="CL157" i="1"/>
  <c r="CH157" i="1"/>
  <c r="CK157" i="1"/>
  <c r="CI157" i="1"/>
  <c r="CG148" i="1"/>
  <c r="CM130" i="1"/>
  <c r="CM102" i="1"/>
  <c r="CM82" i="1"/>
  <c r="CL58" i="1"/>
  <c r="CH58" i="1"/>
  <c r="CK58" i="1"/>
  <c r="CI58" i="1"/>
  <c r="CG52" i="1"/>
  <c r="CM42" i="1"/>
  <c r="CK89" i="1"/>
  <c r="CL89" i="1"/>
  <c r="CH89" i="1"/>
  <c r="CI89" i="1"/>
  <c r="CM269" i="1"/>
  <c r="CL251" i="1"/>
  <c r="CI251" i="1"/>
  <c r="CK251" i="1"/>
  <c r="CH251" i="1"/>
  <c r="CG245" i="1"/>
  <c r="CL231" i="1"/>
  <c r="CH231" i="1"/>
  <c r="CI231" i="1"/>
  <c r="CK231" i="1"/>
  <c r="CL219" i="1"/>
  <c r="CH219" i="1"/>
  <c r="CI219" i="1"/>
  <c r="CK219" i="1"/>
  <c r="CL207" i="1"/>
  <c r="CH207" i="1"/>
  <c r="CI207" i="1"/>
  <c r="CK207" i="1"/>
  <c r="CM199" i="1"/>
  <c r="CM187" i="1"/>
  <c r="CG177" i="1"/>
  <c r="CG165" i="1"/>
  <c r="CG153" i="1"/>
  <c r="CM140" i="1"/>
  <c r="CM132" i="1"/>
  <c r="CM69" i="1"/>
  <c r="CG110" i="1"/>
  <c r="CL84" i="1"/>
  <c r="CH84" i="1"/>
  <c r="CI84" i="1"/>
  <c r="CK84" i="1"/>
  <c r="CL76" i="1"/>
  <c r="CH76" i="1"/>
  <c r="CI76" i="1"/>
  <c r="CK76" i="1"/>
  <c r="CG120" i="1"/>
  <c r="CM56" i="1"/>
  <c r="CM44" i="1"/>
  <c r="CL32" i="1"/>
  <c r="CK32" i="1"/>
  <c r="CH32" i="1"/>
  <c r="CI32" i="1"/>
  <c r="CM24" i="1"/>
  <c r="CG14" i="1"/>
  <c r="CG269" i="1"/>
  <c r="CM249" i="1"/>
  <c r="CM237" i="1"/>
  <c r="CG231" i="1"/>
  <c r="CG223" i="1"/>
  <c r="CK205" i="1"/>
  <c r="CL205" i="1"/>
  <c r="CH205" i="1"/>
  <c r="CI205" i="1"/>
  <c r="CG195" i="1"/>
  <c r="CL181" i="1"/>
  <c r="CK181" i="1"/>
  <c r="CH181" i="1"/>
  <c r="CI181" i="1"/>
  <c r="CM173" i="1"/>
  <c r="CG163" i="1"/>
  <c r="CL146" i="1"/>
  <c r="CH146" i="1"/>
  <c r="CK146" i="1"/>
  <c r="CI146" i="1"/>
  <c r="CL13" i="1"/>
  <c r="CK13" i="1"/>
  <c r="CH13" i="1"/>
  <c r="CI13" i="1"/>
  <c r="CM118" i="1"/>
  <c r="CL106" i="1"/>
  <c r="CH106" i="1"/>
  <c r="CI106" i="1"/>
  <c r="CK106" i="1"/>
  <c r="CM98" i="1"/>
  <c r="CG92" i="1"/>
  <c r="CM74" i="1"/>
  <c r="CL50" i="1"/>
  <c r="CH50" i="1"/>
  <c r="CK50" i="1"/>
  <c r="CI50" i="1"/>
  <c r="CL38" i="1"/>
  <c r="CK38" i="1"/>
  <c r="CH38" i="1"/>
  <c r="CI38" i="1"/>
  <c r="CM30" i="1"/>
  <c r="CG20" i="1"/>
  <c r="CK6" i="1"/>
  <c r="CL6" i="1"/>
  <c r="CH6" i="1"/>
  <c r="CI6" i="1"/>
  <c r="CK263" i="1"/>
  <c r="CI263" i="1"/>
  <c r="CL263" i="1"/>
  <c r="CH263" i="1"/>
  <c r="CK256" i="1"/>
  <c r="CL256" i="1"/>
  <c r="CH256" i="1"/>
  <c r="CI256" i="1"/>
  <c r="CK248" i="1"/>
  <c r="CI248" i="1"/>
  <c r="CL248" i="1"/>
  <c r="CH248" i="1"/>
  <c r="CK240" i="1"/>
  <c r="CL240" i="1"/>
  <c r="CI240" i="1"/>
  <c r="CH240" i="1"/>
  <c r="CI232" i="1"/>
  <c r="CK232" i="1"/>
  <c r="CL232" i="1"/>
  <c r="CH232" i="1"/>
  <c r="CI224" i="1"/>
  <c r="CK224" i="1"/>
  <c r="CL224" i="1"/>
  <c r="CH224" i="1"/>
  <c r="CG222" i="1"/>
  <c r="CM216" i="1"/>
  <c r="CG214" i="1"/>
  <c r="CM113" i="1"/>
  <c r="CI204" i="1"/>
  <c r="CK204" i="1"/>
  <c r="CL204" i="1"/>
  <c r="CH204" i="1"/>
  <c r="CI196" i="1"/>
  <c r="CK196" i="1"/>
  <c r="CH196" i="1"/>
  <c r="CL196" i="1"/>
  <c r="CI188" i="1"/>
  <c r="CK188" i="1"/>
  <c r="CL188" i="1"/>
  <c r="CH188" i="1"/>
  <c r="CK180" i="1"/>
  <c r="CI180" i="1"/>
  <c r="CL180" i="1"/>
  <c r="CH180" i="1"/>
  <c r="CK172" i="1"/>
  <c r="CI172" i="1"/>
  <c r="CL172" i="1"/>
  <c r="CH172" i="1"/>
  <c r="CK164" i="1"/>
  <c r="CI164" i="1"/>
  <c r="CH164" i="1"/>
  <c r="CL164" i="1"/>
  <c r="CM156" i="1"/>
  <c r="CG91" i="1"/>
  <c r="CM149" i="1"/>
  <c r="CG147" i="1"/>
  <c r="CK137" i="1"/>
  <c r="CI137" i="1"/>
  <c r="CL137" i="1"/>
  <c r="CH137" i="1"/>
  <c r="CK129" i="1"/>
  <c r="CI129" i="1"/>
  <c r="CL129" i="1"/>
  <c r="CH129" i="1"/>
  <c r="CK121" i="1"/>
  <c r="CI121" i="1"/>
  <c r="CL121" i="1"/>
  <c r="CH121" i="1"/>
  <c r="CK88" i="1"/>
  <c r="CI88" i="1"/>
  <c r="CL88" i="1"/>
  <c r="CH88" i="1"/>
  <c r="CK105" i="1"/>
  <c r="CI105" i="1"/>
  <c r="CL105" i="1"/>
  <c r="CH105" i="1"/>
  <c r="CK97" i="1"/>
  <c r="CI97" i="1"/>
  <c r="CL97" i="1"/>
  <c r="CH97" i="1"/>
  <c r="CG95" i="1"/>
  <c r="CM162" i="1"/>
  <c r="CG87" i="1"/>
  <c r="CM81" i="1"/>
  <c r="CK77" i="1"/>
  <c r="CL77" i="1"/>
  <c r="CI77" i="1"/>
  <c r="CH77" i="1"/>
  <c r="CK183" i="1"/>
  <c r="CL183" i="1"/>
  <c r="CI183" i="1"/>
  <c r="CH183" i="1"/>
  <c r="CK61" i="1"/>
  <c r="CL61" i="1"/>
  <c r="CI61" i="1"/>
  <c r="CH61" i="1"/>
  <c r="CK53" i="1"/>
  <c r="CL53" i="1"/>
  <c r="CI53" i="1"/>
  <c r="CH53" i="1"/>
  <c r="CK45" i="1"/>
  <c r="CL45" i="1"/>
  <c r="CI45" i="1"/>
  <c r="CH45" i="1"/>
  <c r="CK37" i="1"/>
  <c r="CL37" i="1"/>
  <c r="CI37" i="1"/>
  <c r="CH37" i="1"/>
  <c r="CM29" i="1"/>
  <c r="CG27" i="1"/>
  <c r="CM21" i="1"/>
  <c r="CG19" i="1"/>
  <c r="CK9" i="1"/>
  <c r="CI9" i="1"/>
  <c r="CL9" i="1"/>
  <c r="CH9" i="1"/>
  <c r="CK225" i="1"/>
  <c r="CL225" i="1"/>
  <c r="CH225" i="1"/>
  <c r="CI225" i="1"/>
  <c r="CG211" i="1"/>
  <c r="CM153" i="1"/>
  <c r="CL134" i="1"/>
  <c r="CK134" i="1"/>
  <c r="CH134" i="1"/>
  <c r="CI134" i="1"/>
  <c r="CM94" i="1"/>
  <c r="CM70" i="1"/>
  <c r="CM62" i="1"/>
  <c r="CG8" i="1"/>
  <c r="C36" i="3" l="1"/>
  <c r="F35" i="3"/>
  <c r="E43" i="3"/>
  <c r="CN249" i="1" a="1"/>
  <c r="CN249" i="1" s="1"/>
  <c r="CO171" i="1" a="1"/>
  <c r="CO171" i="1" s="1"/>
  <c r="CO241" i="1" a="1"/>
  <c r="CO241" i="1" s="1"/>
  <c r="CO210" i="1" a="1"/>
  <c r="CO210" i="1" s="1"/>
  <c r="CO126" i="1" a="1"/>
  <c r="CO126" i="1" s="1"/>
  <c r="CO139" i="1" a="1"/>
  <c r="CO139" i="1" s="1"/>
  <c r="CN170" i="1" a="1"/>
  <c r="CN170" i="1" s="1"/>
  <c r="CN250" i="1" a="1"/>
  <c r="CN250" i="1" s="1"/>
  <c r="CN265" i="1" a="1"/>
  <c r="CN265" i="1" s="1"/>
  <c r="CO74" i="1" a="1"/>
  <c r="CO74" i="1" s="1"/>
  <c r="CN193" i="1" a="1"/>
  <c r="CN193" i="1" s="1"/>
  <c r="CO164" i="1" a="1"/>
  <c r="CO164" i="1" s="1"/>
  <c r="CO256" i="1" a="1"/>
  <c r="CO256" i="1" s="1"/>
  <c r="CN181" i="1" a="1"/>
  <c r="CN181" i="1" s="1"/>
  <c r="CN22" i="1" a="1"/>
  <c r="CN22" i="1" s="1"/>
  <c r="CO268" i="1" a="1"/>
  <c r="CO268" i="1" s="1"/>
  <c r="CN25" i="1" a="1"/>
  <c r="CN25" i="1" s="1"/>
  <c r="CN157" i="1" a="1"/>
  <c r="CN157" i="1" s="1"/>
  <c r="CN123" i="1" a="1"/>
  <c r="CN123" i="1" s="1"/>
  <c r="CO7" i="1" a="1"/>
  <c r="CO7" i="1" s="1"/>
  <c r="CN39" i="1" a="1"/>
  <c r="CN39" i="1" s="1"/>
  <c r="CO166" i="1" a="1"/>
  <c r="CO166" i="1" s="1"/>
  <c r="CN230" i="1" a="1"/>
  <c r="CN230" i="1" s="1"/>
  <c r="CN262" i="1" a="1"/>
  <c r="CN262" i="1" s="1"/>
  <c r="CO138" i="1" a="1"/>
  <c r="CO138" i="1" s="1"/>
  <c r="CO192" i="1" a="1"/>
  <c r="CO192" i="1" s="1"/>
  <c r="CO208" i="1" a="1"/>
  <c r="CO208" i="1" s="1"/>
  <c r="CN28" i="1" a="1"/>
  <c r="CN28" i="1" s="1"/>
  <c r="CO47" i="1" a="1"/>
  <c r="CO47" i="1" s="1"/>
  <c r="CN127" i="1" a="1"/>
  <c r="CN127" i="1" s="1"/>
  <c r="CO225" i="1" a="1"/>
  <c r="CO225" i="1" s="1"/>
  <c r="CO6" i="1" a="1"/>
  <c r="CO6" i="1" s="1"/>
  <c r="CN62" i="1" a="1"/>
  <c r="CN62" i="1" s="1"/>
  <c r="CN69" i="1" a="1"/>
  <c r="CN69" i="1" s="1"/>
  <c r="CN48" i="1" a="1"/>
  <c r="CN48" i="1" s="1"/>
  <c r="CO100" i="1" a="1"/>
  <c r="CO100" i="1" s="1"/>
  <c r="CO51" i="1" a="1"/>
  <c r="CO51" i="1" s="1"/>
  <c r="CO133" i="1" a="1"/>
  <c r="CO133" i="1" s="1"/>
  <c r="CO161" i="1" a="1"/>
  <c r="CO161" i="1" s="1"/>
  <c r="CN46" i="1" a="1"/>
  <c r="CN46" i="1" s="1"/>
  <c r="CO196" i="1" a="1"/>
  <c r="CO196" i="1" s="1"/>
  <c r="CO89" i="1" a="1"/>
  <c r="CO89" i="1" s="1"/>
  <c r="CN94" i="1" a="1"/>
  <c r="CN94" i="1" s="1"/>
  <c r="CN197" i="1" a="1"/>
  <c r="CN197" i="1" s="1"/>
  <c r="CO205" i="1" a="1"/>
  <c r="CO205" i="1" s="1"/>
  <c r="CO32" i="1" a="1"/>
  <c r="CO32" i="1" s="1"/>
  <c r="CN76" i="1" a="1"/>
  <c r="CN76" i="1" s="1"/>
  <c r="CN84" i="1" a="1"/>
  <c r="CN84" i="1" s="1"/>
  <c r="CO251" i="1" a="1"/>
  <c r="CO251" i="1" s="1"/>
  <c r="CN89" i="1" a="1"/>
  <c r="CN89" i="1" s="1"/>
  <c r="CO12" i="1" a="1"/>
  <c r="CO12" i="1" s="1"/>
  <c r="CO55" i="1" a="1"/>
  <c r="CO55" i="1" s="1"/>
  <c r="CN103" i="1" a="1"/>
  <c r="CN103" i="1" s="1"/>
  <c r="CN135" i="1" a="1"/>
  <c r="CN135" i="1" s="1"/>
  <c r="CN182" i="1" a="1"/>
  <c r="CN182" i="1" s="1"/>
  <c r="CN198" i="1" a="1"/>
  <c r="CN198" i="1" s="1"/>
  <c r="CO33" i="1" a="1"/>
  <c r="CO33" i="1" s="1"/>
  <c r="CN49" i="1" a="1"/>
  <c r="CN49" i="1" s="1"/>
  <c r="CN155" i="1" a="1"/>
  <c r="CN155" i="1" s="1"/>
  <c r="CN63" i="1" a="1"/>
  <c r="CN63" i="1" s="1"/>
  <c r="CN174" i="1" a="1"/>
  <c r="CN174" i="1" s="1"/>
  <c r="CN238" i="1" a="1"/>
  <c r="CN238" i="1" s="1"/>
  <c r="CO78" i="1" a="1"/>
  <c r="CO78" i="1" s="1"/>
  <c r="CN126" i="1" a="1"/>
  <c r="CN126" i="1" s="1"/>
  <c r="CO170" i="1" a="1"/>
  <c r="CO170" i="1" s="1"/>
  <c r="CO81" i="1" a="1"/>
  <c r="CO81" i="1" s="1"/>
  <c r="CO149" i="1" a="1"/>
  <c r="CO149" i="1" s="1"/>
  <c r="CO173" i="1" a="1"/>
  <c r="CO173" i="1" s="1"/>
  <c r="CO24" i="1" a="1"/>
  <c r="CO24" i="1" s="1"/>
  <c r="CO69" i="1" a="1"/>
  <c r="CO69" i="1" s="1"/>
  <c r="CO80" i="1" a="1"/>
  <c r="CO80" i="1" s="1"/>
  <c r="CN171" i="1" a="1"/>
  <c r="CN171" i="1" s="1"/>
  <c r="CO65" i="1" a="1"/>
  <c r="CO65" i="1" s="1"/>
  <c r="CN72" i="1" a="1"/>
  <c r="CN72" i="1" s="1"/>
  <c r="CO203" i="1" a="1"/>
  <c r="CO203" i="1" s="1"/>
  <c r="CN143" i="1" a="1"/>
  <c r="CN143" i="1" s="1"/>
  <c r="CO249" i="1" a="1"/>
  <c r="CO249" i="1" s="1"/>
  <c r="CO17" i="1" a="1"/>
  <c r="CO17" i="1" s="1"/>
  <c r="CO201" i="1" a="1"/>
  <c r="CO201" i="1" s="1"/>
  <c r="CN83" i="1" a="1"/>
  <c r="CN83" i="1" s="1"/>
  <c r="CN134" i="1" a="1"/>
  <c r="CN134" i="1" s="1"/>
  <c r="CO38" i="1" a="1"/>
  <c r="CO38" i="1" s="1"/>
  <c r="CN106" i="1" a="1"/>
  <c r="CN106" i="1" s="1"/>
  <c r="CO13" i="1" a="1"/>
  <c r="CO13" i="1" s="1"/>
  <c r="CN207" i="1" a="1"/>
  <c r="CN207" i="1" s="1"/>
  <c r="CO219" i="1" a="1"/>
  <c r="CO219" i="1" s="1"/>
  <c r="CN254" i="1" a="1"/>
  <c r="CN254" i="1" s="1"/>
  <c r="CN159" i="1" a="1"/>
  <c r="CN159" i="1" s="1"/>
  <c r="CO23" i="1" a="1"/>
  <c r="CO23" i="1" s="1"/>
  <c r="CN71" i="1" a="1"/>
  <c r="CN71" i="1" s="1"/>
  <c r="CN246" i="1" a="1"/>
  <c r="CN246" i="1" s="1"/>
  <c r="CO258" i="1" a="1"/>
  <c r="CO258" i="1" s="1"/>
  <c r="CN10" i="1" a="1"/>
  <c r="CN10" i="1" s="1"/>
  <c r="CO189" i="1" a="1"/>
  <c r="CO189" i="1" s="1"/>
  <c r="CN209" i="1" a="1"/>
  <c r="CN209" i="1" s="1"/>
  <c r="CN257" i="1" a="1"/>
  <c r="CN257" i="1" s="1"/>
  <c r="CO82" i="1" a="1"/>
  <c r="CO82" i="1" s="1"/>
  <c r="CN112" i="1" a="1"/>
  <c r="CN112" i="1" s="1"/>
  <c r="CO155" i="1" a="1"/>
  <c r="CO155" i="1" s="1"/>
  <c r="CN255" i="1" a="1"/>
  <c r="CN255" i="1" s="1"/>
  <c r="CO79" i="1" a="1"/>
  <c r="CO79" i="1" s="1"/>
  <c r="CO174" i="1" a="1"/>
  <c r="CO174" i="1" s="1"/>
  <c r="CN34" i="1" a="1"/>
  <c r="CN34" i="1" s="1"/>
  <c r="CO90" i="1" a="1"/>
  <c r="CO90" i="1" s="1"/>
  <c r="CN21" i="1" a="1"/>
  <c r="CN21" i="1" s="1"/>
  <c r="CO113" i="1" a="1"/>
  <c r="CO113" i="1" s="1"/>
  <c r="CO67" i="1" a="1"/>
  <c r="CO67" i="1" s="1"/>
  <c r="CN160" i="1" a="1"/>
  <c r="CN160" i="1" s="1"/>
  <c r="CN15" i="1" a="1"/>
  <c r="CN15" i="1" s="1"/>
  <c r="CO270" i="1" a="1"/>
  <c r="CO270" i="1" s="1"/>
  <c r="CO70" i="1" a="1"/>
  <c r="CO70" i="1" s="1"/>
  <c r="CO9" i="1" a="1"/>
  <c r="CO9" i="1" s="1"/>
  <c r="CN37" i="1" a="1"/>
  <c r="CN37" i="1" s="1"/>
  <c r="CN45" i="1" a="1"/>
  <c r="CN45" i="1" s="1"/>
  <c r="CO53" i="1" a="1"/>
  <c r="CO53" i="1" s="1"/>
  <c r="CO61" i="1" a="1"/>
  <c r="CO61" i="1" s="1"/>
  <c r="CO183" i="1" a="1"/>
  <c r="CO183" i="1" s="1"/>
  <c r="CO77" i="1" a="1"/>
  <c r="CO77" i="1" s="1"/>
  <c r="CO97" i="1" a="1"/>
  <c r="CO97" i="1" s="1"/>
  <c r="CO105" i="1" a="1"/>
  <c r="CO105" i="1" s="1"/>
  <c r="CO88" i="1" a="1"/>
  <c r="CO88" i="1" s="1"/>
  <c r="CN121" i="1" a="1"/>
  <c r="CN121" i="1" s="1"/>
  <c r="CO129" i="1" a="1"/>
  <c r="CO129" i="1" s="1"/>
  <c r="CN137" i="1" a="1"/>
  <c r="CN137" i="1" s="1"/>
  <c r="CN164" i="1" a="1"/>
  <c r="CN164" i="1" s="1"/>
  <c r="CO172" i="1" a="1"/>
  <c r="CO172" i="1" s="1"/>
  <c r="CN180" i="1" a="1"/>
  <c r="CN180" i="1" s="1"/>
  <c r="CO188" i="1" a="1"/>
  <c r="CO188" i="1" s="1"/>
  <c r="CN196" i="1" a="1"/>
  <c r="CN196" i="1" s="1"/>
  <c r="CN204" i="1" a="1"/>
  <c r="CN204" i="1" s="1"/>
  <c r="CO224" i="1" a="1"/>
  <c r="CO224" i="1" s="1"/>
  <c r="CN232" i="1" a="1"/>
  <c r="CN232" i="1" s="1"/>
  <c r="CN240" i="1" a="1"/>
  <c r="CN240" i="1" s="1"/>
  <c r="CN248" i="1" a="1"/>
  <c r="CN248" i="1" s="1"/>
  <c r="CN263" i="1" a="1"/>
  <c r="CN263" i="1" s="1"/>
  <c r="CN38" i="1" a="1"/>
  <c r="CN38" i="1" s="1"/>
  <c r="CO50" i="1" a="1"/>
  <c r="CO50" i="1" s="1"/>
  <c r="CN98" i="1" a="1"/>
  <c r="CN98" i="1" s="1"/>
  <c r="CO106" i="1" a="1"/>
  <c r="CO106" i="1" s="1"/>
  <c r="CN146" i="1" a="1"/>
  <c r="CN146" i="1" s="1"/>
  <c r="CO42" i="1" a="1"/>
  <c r="CO42" i="1" s="1"/>
  <c r="CO58" i="1" a="1"/>
  <c r="CO58" i="1" s="1"/>
  <c r="CO169" i="1" a="1"/>
  <c r="CO169" i="1" s="1"/>
  <c r="CO128" i="1" a="1"/>
  <c r="CO128" i="1" s="1"/>
  <c r="CN66" i="1" a="1"/>
  <c r="CN66" i="1" s="1"/>
  <c r="CN151" i="1" a="1"/>
  <c r="CN151" i="1" s="1"/>
  <c r="CO150" i="1" a="1"/>
  <c r="CO150" i="1" s="1"/>
  <c r="CO101" i="1" a="1"/>
  <c r="CO101" i="1" s="1"/>
  <c r="CO117" i="1" a="1"/>
  <c r="CO117" i="1" s="1"/>
  <c r="CN145" i="1" a="1"/>
  <c r="CN145" i="1" s="1"/>
  <c r="CO209" i="1" a="1"/>
  <c r="CO209" i="1" s="1"/>
  <c r="CO257" i="1" a="1"/>
  <c r="CO257" i="1" s="1"/>
  <c r="CO16" i="1" a="1"/>
  <c r="CO16" i="1" s="1"/>
  <c r="CN54" i="1" a="1"/>
  <c r="CN54" i="1" s="1"/>
  <c r="CN261" i="1" a="1"/>
  <c r="CN261" i="1" s="1"/>
  <c r="CO238" i="1" a="1"/>
  <c r="CO238" i="1" s="1"/>
  <c r="CN260" i="1" a="1"/>
  <c r="CN260" i="1" s="1"/>
  <c r="CO266" i="1" a="1"/>
  <c r="CO266" i="1" s="1"/>
  <c r="CO235" i="1" a="1"/>
  <c r="CO235" i="1" s="1"/>
  <c r="CN149" i="1" a="1"/>
  <c r="CN149" i="1" s="1"/>
  <c r="CN176" i="1" a="1"/>
  <c r="CN176" i="1" s="1"/>
  <c r="CN113" i="1" a="1"/>
  <c r="CN113" i="1" s="1"/>
  <c r="CN216" i="1" a="1"/>
  <c r="CN216" i="1" s="1"/>
  <c r="CO98" i="1" a="1"/>
  <c r="CO98" i="1" s="1"/>
  <c r="CN118" i="1" a="1"/>
  <c r="CN118" i="1" s="1"/>
  <c r="CN233" i="1" a="1"/>
  <c r="CN233" i="1" s="1"/>
  <c r="CN24" i="1" a="1"/>
  <c r="CN24" i="1" s="1"/>
  <c r="CN199" i="1" a="1"/>
  <c r="CN199" i="1" s="1"/>
  <c r="CN42" i="1" a="1"/>
  <c r="CN42" i="1" s="1"/>
  <c r="CN82" i="1" a="1"/>
  <c r="CN82" i="1" s="1"/>
  <c r="CO130" i="1" a="1"/>
  <c r="CO130" i="1" s="1"/>
  <c r="CO193" i="1" a="1"/>
  <c r="CO193" i="1" s="1"/>
  <c r="CN241" i="1" a="1"/>
  <c r="CN241" i="1" s="1"/>
  <c r="CN80" i="1" a="1"/>
  <c r="CN80" i="1" s="1"/>
  <c r="CO35" i="1" a="1"/>
  <c r="CO35" i="1" s="1"/>
  <c r="CN67" i="1" a="1"/>
  <c r="CN67" i="1" s="1"/>
  <c r="CO64" i="1" a="1"/>
  <c r="CO64" i="1" s="1"/>
  <c r="CN194" i="1" a="1"/>
  <c r="CN194" i="1" s="1"/>
  <c r="CN210" i="1" a="1"/>
  <c r="CN210" i="1" s="1"/>
  <c r="CO228" i="1" a="1"/>
  <c r="CO228" i="1" s="1"/>
  <c r="CO244" i="1" a="1"/>
  <c r="CO244" i="1" s="1"/>
  <c r="CO260" i="1" a="1"/>
  <c r="CO260" i="1" s="1"/>
  <c r="CN167" i="1" a="1"/>
  <c r="CN167" i="1" s="1"/>
  <c r="CN161" i="1" a="1"/>
  <c r="CN161" i="1" s="1"/>
  <c r="CO18" i="1" a="1"/>
  <c r="CO18" i="1" s="1"/>
  <c r="CN270" i="1" a="1"/>
  <c r="CN270" i="1" s="1"/>
  <c r="CN185" i="1" a="1"/>
  <c r="CN185" i="1" s="1"/>
  <c r="CO185" i="1" a="1"/>
  <c r="CO185" i="1" s="1"/>
  <c r="CO204" i="1" a="1"/>
  <c r="CO204" i="1" s="1"/>
  <c r="CN236" i="1" a="1"/>
  <c r="CN236" i="1" s="1"/>
  <c r="CO236" i="1" a="1"/>
  <c r="CO236" i="1" s="1"/>
  <c r="CN13" i="1" a="1"/>
  <c r="CN13" i="1" s="1"/>
  <c r="CN53" i="1" a="1"/>
  <c r="CN53" i="1" s="1"/>
  <c r="CN202" i="1" a="1"/>
  <c r="CN202" i="1" s="1"/>
  <c r="CO202" i="1" a="1"/>
  <c r="CO202" i="1" s="1"/>
  <c r="CN105" i="1" a="1"/>
  <c r="CN105" i="1" s="1"/>
  <c r="CO216" i="1" a="1"/>
  <c r="CO216" i="1" s="1"/>
  <c r="CO83" i="1" a="1"/>
  <c r="CO83" i="1" s="1"/>
  <c r="CO21" i="1" a="1"/>
  <c r="CO21" i="1" s="1"/>
  <c r="CO37" i="1" a="1"/>
  <c r="CO37" i="1" s="1"/>
  <c r="CO127" i="1" a="1"/>
  <c r="CO127" i="1" s="1"/>
  <c r="CN201" i="1" a="1"/>
  <c r="CN201" i="1" s="1"/>
  <c r="CO72" i="1" a="1"/>
  <c r="CO72" i="1" s="1"/>
  <c r="CN169" i="1" a="1"/>
  <c r="CN169" i="1" s="1"/>
  <c r="CO66" i="1" a="1"/>
  <c r="CO66" i="1" s="1"/>
  <c r="CO178" i="1" a="1"/>
  <c r="CO178" i="1" s="1"/>
  <c r="CN203" i="1" a="1"/>
  <c r="CN203" i="1" s="1"/>
  <c r="CO197" i="1" a="1"/>
  <c r="CO197" i="1" s="1"/>
  <c r="CO167" i="1" a="1"/>
  <c r="CO167" i="1" s="1"/>
  <c r="CN78" i="1" a="1"/>
  <c r="CN78" i="1" s="1"/>
  <c r="CN33" i="1" a="1"/>
  <c r="CN33" i="1" s="1"/>
  <c r="CN81" i="1" a="1"/>
  <c r="CN81" i="1" s="1"/>
  <c r="CN88" i="1" a="1"/>
  <c r="CN88" i="1" s="1"/>
  <c r="CO63" i="1" a="1"/>
  <c r="CO63" i="1" s="1"/>
  <c r="CO198" i="1" a="1"/>
  <c r="CO198" i="1" s="1"/>
  <c r="CN90" i="1" a="1"/>
  <c r="CN90" i="1" s="1"/>
  <c r="CO265" i="1" a="1"/>
  <c r="CO265" i="1" s="1"/>
  <c r="CN47" i="1" a="1"/>
  <c r="CN47" i="1" s="1"/>
  <c r="CO39" i="1" a="1"/>
  <c r="CO39" i="1" s="1"/>
  <c r="CO25" i="1" a="1"/>
  <c r="CO25" i="1" s="1"/>
  <c r="CO255" i="1" a="1"/>
  <c r="CO255" i="1" s="1"/>
  <c r="CO19" i="1" a="1"/>
  <c r="CO19" i="1" s="1"/>
  <c r="CN19" i="1" a="1"/>
  <c r="CN19" i="1" s="1"/>
  <c r="CO195" i="1" a="1"/>
  <c r="CO195" i="1" s="1"/>
  <c r="CN195" i="1" a="1"/>
  <c r="CN195" i="1" s="1"/>
  <c r="CN177" i="1" a="1"/>
  <c r="CN177" i="1" s="1"/>
  <c r="CO177" i="1" a="1"/>
  <c r="CO177" i="1" s="1"/>
  <c r="CO191" i="1" a="1"/>
  <c r="CO191" i="1" s="1"/>
  <c r="CN191" i="1" a="1"/>
  <c r="CN191" i="1" s="1"/>
  <c r="CN77" i="1" a="1"/>
  <c r="CN77" i="1" s="1"/>
  <c r="CN141" i="1" a="1"/>
  <c r="CN141" i="1" s="1"/>
  <c r="CO141" i="1" a="1"/>
  <c r="CO141" i="1" s="1"/>
  <c r="CN267" i="1" a="1"/>
  <c r="CN267" i="1" s="1"/>
  <c r="CO267" i="1" a="1"/>
  <c r="CO267" i="1" s="1"/>
  <c r="CN50" i="1" a="1"/>
  <c r="CN50" i="1" s="1"/>
  <c r="CO10" i="1" a="1"/>
  <c r="CO10" i="1" s="1"/>
  <c r="CO180" i="1" a="1"/>
  <c r="CO180" i="1" s="1"/>
  <c r="CN52" i="1" a="1"/>
  <c r="CN52" i="1" s="1"/>
  <c r="CO52" i="1" a="1"/>
  <c r="CO52" i="1" s="1"/>
  <c r="CN70" i="1" a="1"/>
  <c r="CN70" i="1" s="1"/>
  <c r="CO122" i="1" a="1"/>
  <c r="CO122" i="1" s="1"/>
  <c r="CN122" i="1" a="1"/>
  <c r="CN122" i="1" s="1"/>
  <c r="CO181" i="1" a="1"/>
  <c r="CO181" i="1" s="1"/>
  <c r="CO254" i="1" a="1"/>
  <c r="CO254" i="1" s="1"/>
  <c r="CO45" i="1" a="1"/>
  <c r="CO45" i="1" s="1"/>
  <c r="CN61" i="1" a="1"/>
  <c r="CN61" i="1" s="1"/>
  <c r="CN172" i="1" a="1"/>
  <c r="CN172" i="1" s="1"/>
  <c r="CN188" i="1" a="1"/>
  <c r="CN188" i="1" s="1"/>
  <c r="CO248" i="1" a="1"/>
  <c r="CO248" i="1" s="1"/>
  <c r="CN31" i="1" a="1"/>
  <c r="CN31" i="1" s="1"/>
  <c r="CO31" i="1" a="1"/>
  <c r="CO31" i="1" s="1"/>
  <c r="CO151" i="1" a="1"/>
  <c r="CO151" i="1" s="1"/>
  <c r="CO68" i="1" a="1"/>
  <c r="CO68" i="1" s="1"/>
  <c r="CN68" i="1" a="1"/>
  <c r="CN68" i="1" s="1"/>
  <c r="CN154" i="1" a="1"/>
  <c r="CN154" i="1" s="1"/>
  <c r="CO154" i="1" a="1"/>
  <c r="CO154" i="1" s="1"/>
  <c r="CN138" i="1" a="1"/>
  <c r="CN138" i="1" s="1"/>
  <c r="CN16" i="1" a="1"/>
  <c r="CN16" i="1" s="1"/>
  <c r="CO96" i="1" a="1"/>
  <c r="CO96" i="1" s="1"/>
  <c r="CN96" i="1" a="1"/>
  <c r="CN96" i="1" s="1"/>
  <c r="CN175" i="1" a="1"/>
  <c r="CN175" i="1" s="1"/>
  <c r="CO175" i="1" a="1"/>
  <c r="CO175" i="1" s="1"/>
  <c r="CN117" i="1" a="1"/>
  <c r="CN117" i="1" s="1"/>
  <c r="CN244" i="1" a="1"/>
  <c r="CN244" i="1" s="1"/>
  <c r="CO135" i="1" a="1"/>
  <c r="CO135" i="1" s="1"/>
  <c r="CO262" i="1" a="1"/>
  <c r="CO262" i="1" s="1"/>
  <c r="CN74" i="1" a="1"/>
  <c r="CN74" i="1" s="1"/>
  <c r="CN40" i="1" a="1"/>
  <c r="CN40" i="1" s="1"/>
  <c r="CO46" i="1" a="1"/>
  <c r="CO46" i="1" s="1"/>
  <c r="CO145" i="1" a="1"/>
  <c r="CO145" i="1" s="1"/>
  <c r="CO240" i="1" a="1"/>
  <c r="CO240" i="1" s="1"/>
  <c r="CN11" i="1" a="1"/>
  <c r="CN11" i="1" s="1"/>
  <c r="CO11" i="1" a="1"/>
  <c r="CO11" i="1" s="1"/>
  <c r="CN115" i="1" a="1"/>
  <c r="CN115" i="1" s="1"/>
  <c r="CO115" i="1" a="1"/>
  <c r="CO115" i="1" s="1"/>
  <c r="CN234" i="1" a="1"/>
  <c r="CN234" i="1" s="1"/>
  <c r="CO234" i="1" a="1"/>
  <c r="CO234" i="1" s="1"/>
  <c r="CO44" i="1" a="1"/>
  <c r="CO44" i="1" s="1"/>
  <c r="CN44" i="1" a="1"/>
  <c r="CN44" i="1" s="1"/>
  <c r="CN102" i="1" a="1"/>
  <c r="CN102" i="1" s="1"/>
  <c r="CO102" i="1" a="1"/>
  <c r="CO102" i="1" s="1"/>
  <c r="CO237" i="1" a="1"/>
  <c r="CO237" i="1" s="1"/>
  <c r="CN237" i="1" a="1"/>
  <c r="CN237" i="1" s="1"/>
  <c r="CO190" i="1" a="1"/>
  <c r="CO190" i="1" s="1"/>
  <c r="CN190" i="1" a="1"/>
  <c r="CN190" i="1" s="1"/>
  <c r="CO94" i="1" a="1"/>
  <c r="CO94" i="1" s="1"/>
  <c r="CO134" i="1" a="1"/>
  <c r="CO134" i="1" s="1"/>
  <c r="CO233" i="1" a="1"/>
  <c r="CO233" i="1" s="1"/>
  <c r="CN162" i="1" a="1"/>
  <c r="CN162" i="1" s="1"/>
  <c r="CO137" i="1" a="1"/>
  <c r="CO137" i="1" s="1"/>
  <c r="CN168" i="1" a="1"/>
  <c r="CN168" i="1" s="1"/>
  <c r="CO168" i="1" a="1"/>
  <c r="CO168" i="1" s="1"/>
  <c r="CO200" i="1" a="1"/>
  <c r="CO200" i="1" s="1"/>
  <c r="CN200" i="1" a="1"/>
  <c r="CN200" i="1" s="1"/>
  <c r="CO263" i="1" a="1"/>
  <c r="CO263" i="1" s="1"/>
  <c r="CO36" i="1" a="1"/>
  <c r="CO36" i="1" s="1"/>
  <c r="CN36" i="1" a="1"/>
  <c r="CN36" i="1" s="1"/>
  <c r="CN205" i="1" a="1"/>
  <c r="CN205" i="1" s="1"/>
  <c r="CO108" i="1" a="1"/>
  <c r="CO108" i="1" s="1"/>
  <c r="CN108" i="1" a="1"/>
  <c r="CN108" i="1" s="1"/>
  <c r="CN59" i="1" a="1"/>
  <c r="CN59" i="1" s="1"/>
  <c r="CO59" i="1" a="1"/>
  <c r="CO59" i="1" s="1"/>
  <c r="CO194" i="1" a="1"/>
  <c r="CO194" i="1" s="1"/>
  <c r="CN65" i="1" a="1"/>
  <c r="CN65" i="1" s="1"/>
  <c r="CN101" i="1" a="1"/>
  <c r="CN101" i="1" s="1"/>
  <c r="CN178" i="1" a="1"/>
  <c r="CN178" i="1" s="1"/>
  <c r="CO147" i="1" a="1"/>
  <c r="CO147" i="1" s="1"/>
  <c r="CN147" i="1" a="1"/>
  <c r="CN147" i="1" s="1"/>
  <c r="CO259" i="1" a="1"/>
  <c r="CO259" i="1" s="1"/>
  <c r="CN259" i="1" a="1"/>
  <c r="CN259" i="1" s="1"/>
  <c r="CN109" i="1" a="1"/>
  <c r="CN109" i="1" s="1"/>
  <c r="CO109" i="1" a="1"/>
  <c r="CO109" i="1" s="1"/>
  <c r="CO123" i="1" a="1"/>
  <c r="CO123" i="1" s="1"/>
  <c r="CN7" i="1" a="1"/>
  <c r="CN7" i="1" s="1"/>
  <c r="CO187" i="1" a="1"/>
  <c r="CO187" i="1" s="1"/>
  <c r="CN187" i="1" a="1"/>
  <c r="CN187" i="1" s="1"/>
  <c r="CO162" i="1" a="1"/>
  <c r="CO162" i="1" s="1"/>
  <c r="CN247" i="1" a="1"/>
  <c r="CN247" i="1" s="1"/>
  <c r="CO247" i="1" a="1"/>
  <c r="CO247" i="1" s="1"/>
  <c r="CO207" i="1" a="1"/>
  <c r="CO207" i="1" s="1"/>
  <c r="CO157" i="1" a="1"/>
  <c r="CO157" i="1" s="1"/>
  <c r="CN133" i="1" a="1"/>
  <c r="CN133" i="1" s="1"/>
  <c r="CN51" i="1" a="1"/>
  <c r="CN51" i="1" s="1"/>
  <c r="CN219" i="1" a="1"/>
  <c r="CN219" i="1" s="1"/>
  <c r="CN223" i="1" a="1"/>
  <c r="CN223" i="1" s="1"/>
  <c r="CO223" i="1" a="1"/>
  <c r="CO223" i="1" s="1"/>
  <c r="CO27" i="1" a="1"/>
  <c r="CO27" i="1" s="1"/>
  <c r="CN27" i="1" a="1"/>
  <c r="CN27" i="1" s="1"/>
  <c r="CO163" i="1" a="1"/>
  <c r="CO163" i="1" s="1"/>
  <c r="CN163" i="1" a="1"/>
  <c r="CN163" i="1" s="1"/>
  <c r="CN231" i="1" a="1"/>
  <c r="CN231" i="1" s="1"/>
  <c r="CO231" i="1" a="1"/>
  <c r="CO231" i="1" s="1"/>
  <c r="CO110" i="1" a="1"/>
  <c r="CO110" i="1" s="1"/>
  <c r="CN110" i="1" a="1"/>
  <c r="CN110" i="1" s="1"/>
  <c r="CN153" i="1" a="1"/>
  <c r="CN153" i="1" s="1"/>
  <c r="CO153" i="1" a="1"/>
  <c r="CO153" i="1" s="1"/>
  <c r="CN32" i="1" a="1"/>
  <c r="CN32" i="1" s="1"/>
  <c r="CO227" i="1" a="1"/>
  <c r="CO227" i="1" s="1"/>
  <c r="CN227" i="1" a="1"/>
  <c r="CN227" i="1" s="1"/>
  <c r="CO26" i="1" a="1"/>
  <c r="CO26" i="1" s="1"/>
  <c r="CN26" i="1" a="1"/>
  <c r="CN26" i="1" s="1"/>
  <c r="CN58" i="1" a="1"/>
  <c r="CN58" i="1" s="1"/>
  <c r="CN142" i="1" a="1"/>
  <c r="CN142" i="1" s="1"/>
  <c r="CO142" i="1" a="1"/>
  <c r="CO142" i="1" s="1"/>
  <c r="CO253" i="1" a="1"/>
  <c r="CO253" i="1" s="1"/>
  <c r="CN253" i="1" a="1"/>
  <c r="CN253" i="1" s="1"/>
  <c r="CO29" i="1" a="1"/>
  <c r="CO29" i="1" s="1"/>
  <c r="CN93" i="1" a="1"/>
  <c r="CN93" i="1" s="1"/>
  <c r="CO93" i="1" a="1"/>
  <c r="CO93" i="1" s="1"/>
  <c r="CN125" i="1" a="1"/>
  <c r="CN125" i="1" s="1"/>
  <c r="CO125" i="1" a="1"/>
  <c r="CO125" i="1" s="1"/>
  <c r="CN156" i="1" a="1"/>
  <c r="CN156" i="1" s="1"/>
  <c r="CN220" i="1" a="1"/>
  <c r="CN220" i="1" s="1"/>
  <c r="CO220" i="1" a="1"/>
  <c r="CO220" i="1" s="1"/>
  <c r="CO252" i="1" a="1"/>
  <c r="CO252" i="1" s="1"/>
  <c r="CN252" i="1" a="1"/>
  <c r="CN252" i="1" s="1"/>
  <c r="CN23" i="1" a="1"/>
  <c r="CN23" i="1" s="1"/>
  <c r="CO179" i="1" a="1"/>
  <c r="CO179" i="1" s="1"/>
  <c r="CN179" i="1" a="1"/>
  <c r="CN179" i="1" s="1"/>
  <c r="CO30" i="1" a="1"/>
  <c r="CO30" i="1" s="1"/>
  <c r="CO229" i="1" a="1"/>
  <c r="CO229" i="1" s="1"/>
  <c r="CN229" i="1" a="1"/>
  <c r="CN229" i="1" s="1"/>
  <c r="CN215" i="1" a="1"/>
  <c r="CN215" i="1" s="1"/>
  <c r="CO215" i="1" a="1"/>
  <c r="CO215" i="1" s="1"/>
  <c r="CN86" i="1" a="1"/>
  <c r="CN86" i="1" s="1"/>
  <c r="CO86" i="1" a="1"/>
  <c r="CO86" i="1" s="1"/>
  <c r="CN228" i="1" a="1"/>
  <c r="CN228" i="1" s="1"/>
  <c r="CO112" i="1" a="1"/>
  <c r="CO112" i="1" s="1"/>
  <c r="CN35" i="1" a="1"/>
  <c r="CN35" i="1" s="1"/>
  <c r="CO22" i="1" a="1"/>
  <c r="CO22" i="1" s="1"/>
  <c r="CO54" i="1" a="1"/>
  <c r="CO54" i="1" s="1"/>
  <c r="CN130" i="1" a="1"/>
  <c r="CN130" i="1" s="1"/>
  <c r="CN18" i="1" a="1"/>
  <c r="CN18" i="1" s="1"/>
  <c r="CN128" i="1" a="1"/>
  <c r="CN128" i="1" s="1"/>
  <c r="CN150" i="1" a="1"/>
  <c r="CN150" i="1" s="1"/>
  <c r="CN129" i="1" a="1"/>
  <c r="CN129" i="1" s="1"/>
  <c r="CO176" i="1" a="1"/>
  <c r="CO176" i="1" s="1"/>
  <c r="CN256" i="1" a="1"/>
  <c r="CN256" i="1" s="1"/>
  <c r="CO99" i="1" a="1"/>
  <c r="CO99" i="1" s="1"/>
  <c r="CN99" i="1" a="1"/>
  <c r="CN99" i="1" s="1"/>
  <c r="CN152" i="1" a="1"/>
  <c r="CN152" i="1" s="1"/>
  <c r="CO152" i="1" a="1"/>
  <c r="CO152" i="1" s="1"/>
  <c r="CO206" i="1" a="1"/>
  <c r="CO206" i="1" s="1"/>
  <c r="CN206" i="1" a="1"/>
  <c r="CN206" i="1" s="1"/>
  <c r="CN242" i="1" a="1"/>
  <c r="CN242" i="1" s="1"/>
  <c r="CO242" i="1" a="1"/>
  <c r="CO242" i="1" s="1"/>
  <c r="CO56" i="1" a="1"/>
  <c r="CO56" i="1" s="1"/>
  <c r="CN56" i="1" a="1"/>
  <c r="CN56" i="1" s="1"/>
  <c r="CO243" i="1" a="1"/>
  <c r="CO243" i="1" s="1"/>
  <c r="CN243" i="1" a="1"/>
  <c r="CN243" i="1" s="1"/>
  <c r="CO146" i="1" a="1"/>
  <c r="CO146" i="1" s="1"/>
  <c r="CN213" i="1" a="1"/>
  <c r="CN213" i="1" s="1"/>
  <c r="CO213" i="1" a="1"/>
  <c r="CO213" i="1" s="1"/>
  <c r="CN140" i="1" a="1"/>
  <c r="CN140" i="1" s="1"/>
  <c r="CO140" i="1" a="1"/>
  <c r="CO140" i="1" s="1"/>
  <c r="CN251" i="1" a="1"/>
  <c r="CN251" i="1" s="1"/>
  <c r="CO62" i="1" a="1"/>
  <c r="CO62" i="1" s="1"/>
  <c r="CN9" i="1" a="1"/>
  <c r="CN9" i="1" s="1"/>
  <c r="CN41" i="1" a="1"/>
  <c r="CN41" i="1" s="1"/>
  <c r="CO41" i="1" a="1"/>
  <c r="CO41" i="1" s="1"/>
  <c r="CN73" i="1" a="1"/>
  <c r="CN73" i="1" s="1"/>
  <c r="CO73" i="1" a="1"/>
  <c r="CO73" i="1" s="1"/>
  <c r="CO121" i="1" a="1"/>
  <c r="CO121" i="1" s="1"/>
  <c r="CO232" i="1" a="1"/>
  <c r="CO232" i="1" s="1"/>
  <c r="CN158" i="1" a="1"/>
  <c r="CN158" i="1" s="1"/>
  <c r="CO158" i="1" a="1"/>
  <c r="CO158" i="1" s="1"/>
  <c r="CN124" i="1" a="1"/>
  <c r="CN124" i="1" s="1"/>
  <c r="CO124" i="1" a="1"/>
  <c r="CO124" i="1" s="1"/>
  <c r="CN183" i="1" a="1"/>
  <c r="CN183" i="1" s="1"/>
  <c r="CO43" i="1" a="1"/>
  <c r="CO43" i="1" s="1"/>
  <c r="CN43" i="1" a="1"/>
  <c r="CN43" i="1" s="1"/>
  <c r="CN111" i="1" a="1"/>
  <c r="CN111" i="1" s="1"/>
  <c r="CN64" i="1" a="1"/>
  <c r="CN64" i="1" s="1"/>
  <c r="CO246" i="1" a="1"/>
  <c r="CO246" i="1" s="1"/>
  <c r="CN268" i="1" a="1"/>
  <c r="CN268" i="1" s="1"/>
  <c r="CO159" i="1" a="1"/>
  <c r="CO159" i="1" s="1"/>
  <c r="CO118" i="1" a="1"/>
  <c r="CO118" i="1" s="1"/>
  <c r="CO199" i="1" a="1"/>
  <c r="CO199" i="1" s="1"/>
  <c r="CO261" i="1" a="1"/>
  <c r="CO261" i="1" s="1"/>
  <c r="CN192" i="1" a="1"/>
  <c r="CN192" i="1" s="1"/>
  <c r="CO212" i="1" a="1"/>
  <c r="CO212" i="1" s="1"/>
  <c r="CN212" i="1" a="1"/>
  <c r="CN212" i="1" s="1"/>
  <c r="CO103" i="1" a="1"/>
  <c r="CO103" i="1" s="1"/>
  <c r="CO143" i="1" a="1"/>
  <c r="CO143" i="1" s="1"/>
  <c r="CO230" i="1" a="1"/>
  <c r="CO230" i="1" s="1"/>
  <c r="CO28" i="1" a="1"/>
  <c r="CO28" i="1" s="1"/>
  <c r="CN173" i="1" a="1"/>
  <c r="CN173" i="1" s="1"/>
  <c r="CN100" i="1" a="1"/>
  <c r="CN100" i="1" s="1"/>
  <c r="CN208" i="1" a="1"/>
  <c r="CN208" i="1" s="1"/>
  <c r="CN189" i="1" a="1"/>
  <c r="CN189" i="1" s="1"/>
  <c r="CN17" i="1" a="1"/>
  <c r="CN17" i="1" s="1"/>
  <c r="CO49" i="1" a="1"/>
  <c r="CO49" i="1" s="1"/>
  <c r="CN97" i="1" a="1"/>
  <c r="CN97" i="1" s="1"/>
  <c r="CO160" i="1" a="1"/>
  <c r="CO160" i="1" s="1"/>
  <c r="CN224" i="1" a="1"/>
  <c r="CN224" i="1" s="1"/>
  <c r="CN12" i="1" a="1"/>
  <c r="CN12" i="1" s="1"/>
  <c r="CN139" i="1" a="1"/>
  <c r="CN139" i="1" s="1"/>
  <c r="CN166" i="1" a="1"/>
  <c r="CN166" i="1" s="1"/>
  <c r="CN258" i="1" a="1"/>
  <c r="CN258" i="1" s="1"/>
  <c r="CN55" i="1" a="1"/>
  <c r="CN55" i="1" s="1"/>
  <c r="CO84" i="1" a="1"/>
  <c r="CO84" i="1" s="1"/>
  <c r="CO34" i="1" a="1"/>
  <c r="CO34" i="1" s="1"/>
  <c r="CO182" i="1" a="1"/>
  <c r="CO182" i="1" s="1"/>
  <c r="CN266" i="1" a="1"/>
  <c r="CN266" i="1" s="1"/>
  <c r="CO71" i="1" a="1"/>
  <c r="CO71" i="1" s="1"/>
  <c r="CO250" i="1" a="1"/>
  <c r="CO250" i="1" s="1"/>
  <c r="CN235" i="1" a="1"/>
  <c r="CN235" i="1" s="1"/>
  <c r="CN79" i="1" a="1"/>
  <c r="CN79" i="1" s="1"/>
  <c r="CN20" i="1" a="1"/>
  <c r="CN20" i="1" s="1"/>
  <c r="CO20" i="1" a="1"/>
  <c r="CO20" i="1" s="1"/>
  <c r="CO136" i="1" a="1"/>
  <c r="CO136" i="1" s="1"/>
  <c r="CN136" i="1" a="1"/>
  <c r="CN136" i="1" s="1"/>
  <c r="CN75" i="1" a="1"/>
  <c r="CN75" i="1" s="1"/>
  <c r="CO75" i="1" a="1"/>
  <c r="CO75" i="1" s="1"/>
  <c r="CO40" i="1" a="1"/>
  <c r="CO40" i="1" s="1"/>
  <c r="CN6" i="1" a="1"/>
  <c r="CN6" i="1" s="1"/>
  <c r="CN225" i="1" a="1"/>
  <c r="CN225" i="1" s="1"/>
  <c r="CO57" i="1" a="1"/>
  <c r="CO57" i="1" s="1"/>
  <c r="CN57" i="1" a="1"/>
  <c r="CN57" i="1" s="1"/>
  <c r="CO76" i="1" a="1"/>
  <c r="CO76" i="1" s="1"/>
  <c r="CO15" i="1" a="1"/>
  <c r="CO15" i="1" s="1"/>
  <c r="CO87" i="1" a="1"/>
  <c r="CO87" i="1" s="1"/>
  <c r="CN87" i="1" a="1"/>
  <c r="CN87" i="1" s="1"/>
  <c r="CN214" i="1" a="1"/>
  <c r="CN214" i="1" s="1"/>
  <c r="CO214" i="1" a="1"/>
  <c r="CO214" i="1" s="1"/>
  <c r="CO8" i="1" a="1"/>
  <c r="CO8" i="1" s="1"/>
  <c r="CN8" i="1" a="1"/>
  <c r="CN8" i="1" s="1"/>
  <c r="CO91" i="1" a="1"/>
  <c r="CO91" i="1" s="1"/>
  <c r="CN91" i="1" a="1"/>
  <c r="CN91" i="1" s="1"/>
  <c r="CN269" i="1" a="1"/>
  <c r="CN269" i="1" s="1"/>
  <c r="CO269" i="1" a="1"/>
  <c r="CO269" i="1" s="1"/>
  <c r="CO211" i="1" a="1"/>
  <c r="CO211" i="1" s="1"/>
  <c r="CN211" i="1" a="1"/>
  <c r="CN211" i="1" s="1"/>
  <c r="CN95" i="1" a="1"/>
  <c r="CN95" i="1" s="1"/>
  <c r="CO95" i="1" a="1"/>
  <c r="CO95" i="1" s="1"/>
  <c r="CO222" i="1" a="1"/>
  <c r="CO222" i="1" s="1"/>
  <c r="CN222" i="1" a="1"/>
  <c r="CN222" i="1" s="1"/>
  <c r="CN92" i="1" a="1"/>
  <c r="CN92" i="1" s="1"/>
  <c r="CO92" i="1" a="1"/>
  <c r="CO92" i="1" s="1"/>
  <c r="CN14" i="1" a="1"/>
  <c r="CN14" i="1" s="1"/>
  <c r="CO14" i="1" a="1"/>
  <c r="CO14" i="1" s="1"/>
  <c r="CO120" i="1" a="1"/>
  <c r="CO120" i="1" s="1"/>
  <c r="CN120" i="1" a="1"/>
  <c r="CN120" i="1" s="1"/>
  <c r="CO165" i="1" a="1"/>
  <c r="CO165" i="1" s="1"/>
  <c r="CN165" i="1" a="1"/>
  <c r="CN165" i="1" s="1"/>
  <c r="CN245" i="1" a="1"/>
  <c r="CN245" i="1" s="1"/>
  <c r="CO245" i="1" a="1"/>
  <c r="CO245" i="1" s="1"/>
  <c r="CO148" i="1" a="1"/>
  <c r="CO148" i="1" s="1"/>
  <c r="CN148" i="1" a="1"/>
  <c r="CN148" i="1" s="1"/>
  <c r="CN239" i="1" a="1"/>
  <c r="CN239" i="1" s="1"/>
  <c r="CO239" i="1" a="1"/>
  <c r="CO239" i="1" s="1"/>
  <c r="CO221" i="1" a="1"/>
  <c r="CO221" i="1" s="1"/>
  <c r="CN221" i="1" a="1"/>
  <c r="CN221" i="1" s="1"/>
  <c r="CN264" i="1" a="1"/>
  <c r="CN264" i="1" s="1"/>
  <c r="CO264" i="1" a="1"/>
  <c r="CO264" i="1" s="1"/>
  <c r="CN29" i="1" a="1"/>
  <c r="CN29" i="1" s="1"/>
  <c r="CO156" i="1" a="1"/>
  <c r="CO156" i="1" s="1"/>
  <c r="CO48" i="1" a="1"/>
  <c r="CO48" i="1" s="1"/>
  <c r="CN104" i="1" a="1"/>
  <c r="CN104" i="1" s="1"/>
  <c r="CO104" i="1" a="1"/>
  <c r="CO104" i="1" s="1"/>
  <c r="CN30" i="1" a="1"/>
  <c r="CN30" i="1" s="1"/>
  <c r="CN85" i="1" a="1"/>
  <c r="CN85" i="1" s="1"/>
  <c r="CO85" i="1" a="1"/>
  <c r="CO85" i="1" s="1"/>
  <c r="CO186" i="1" a="1"/>
  <c r="CO186" i="1" s="1"/>
  <c r="CN186" i="1" a="1"/>
  <c r="CN186" i="1" s="1"/>
  <c r="CN116" i="1" a="1"/>
  <c r="CN116" i="1" s="1"/>
  <c r="CO116" i="1" a="1"/>
  <c r="CO116" i="1" s="1"/>
  <c r="CO107" i="1" a="1"/>
  <c r="CO107" i="1" s="1"/>
  <c r="CN107" i="1" a="1"/>
  <c r="CN107" i="1" s="1"/>
  <c r="CO131" i="1" a="1"/>
  <c r="CO131" i="1" s="1"/>
  <c r="CN131" i="1" a="1"/>
  <c r="CN131" i="1" s="1"/>
  <c r="CO226" i="1" a="1"/>
  <c r="CO226" i="1" s="1"/>
  <c r="CN226" i="1" a="1"/>
  <c r="CN226" i="1" s="1"/>
  <c r="CN132" i="1" a="1"/>
  <c r="CN132" i="1" s="1"/>
  <c r="CO132" i="1" a="1"/>
  <c r="CO132" i="1" s="1"/>
  <c r="CN119" i="1" a="1"/>
  <c r="CN119" i="1" s="1"/>
  <c r="CO119" i="1" a="1"/>
  <c r="CO119" i="1" s="1"/>
  <c r="CN114" i="1" a="1"/>
  <c r="CN114" i="1" s="1"/>
  <c r="CO114" i="1" a="1"/>
  <c r="CO114" i="1" s="1"/>
  <c r="CN184" i="1" a="1"/>
  <c r="CN184" i="1" s="1"/>
  <c r="CO184" i="1" a="1"/>
  <c r="CO184" i="1" s="1"/>
  <c r="CN218" i="1" a="1"/>
  <c r="CN218" i="1" s="1"/>
  <c r="CO218" i="1" a="1"/>
  <c r="CO218" i="1" s="1"/>
  <c r="CO144" i="1" a="1"/>
  <c r="CO144" i="1" s="1"/>
  <c r="CN144" i="1" a="1"/>
  <c r="CN144" i="1" s="1"/>
  <c r="CN217" i="1" a="1"/>
  <c r="CN217" i="1" s="1"/>
  <c r="CO217" i="1" a="1"/>
  <c r="CO217" i="1" s="1"/>
  <c r="CN60" i="1" a="1"/>
  <c r="CN60" i="1" s="1"/>
  <c r="CO60" i="1" a="1"/>
  <c r="CO60" i="1" s="1"/>
  <c r="CO111" i="1" a="1"/>
  <c r="CO111" i="1" s="1"/>
  <c r="CP257" i="1" l="1"/>
  <c r="DD257" i="1" s="1"/>
  <c r="CP112" i="1"/>
  <c r="CV112" i="1" s="1"/>
  <c r="C37" i="3"/>
  <c r="F36" i="3"/>
  <c r="E44" i="3"/>
  <c r="CP215" i="1"/>
  <c r="CP12" i="1"/>
  <c r="CQ12" i="1" s="1"/>
  <c r="CP100" i="1"/>
  <c r="CP126" i="1"/>
  <c r="CQ126" i="1" s="1"/>
  <c r="CP209" i="1"/>
  <c r="CU209" i="1" s="1"/>
  <c r="CP94" i="1"/>
  <c r="CU94" i="1" s="1"/>
  <c r="CP123" i="1"/>
  <c r="CQ123" i="1" s="1"/>
  <c r="CP208" i="1"/>
  <c r="CQ208" i="1" s="1"/>
  <c r="CP78" i="1"/>
  <c r="CY78" i="1" s="1"/>
  <c r="CP249" i="1"/>
  <c r="CU249" i="1" s="1"/>
  <c r="CP111" i="1"/>
  <c r="CY111" i="1" s="1"/>
  <c r="CP266" i="1"/>
  <c r="CS266" i="1" s="1"/>
  <c r="CP241" i="1"/>
  <c r="CP251" i="1"/>
  <c r="CT251" i="1" s="1"/>
  <c r="CP157" i="1"/>
  <c r="CP39" i="1"/>
  <c r="CP33" i="1"/>
  <c r="CP193" i="1"/>
  <c r="CP24" i="1"/>
  <c r="CP159" i="1"/>
  <c r="CP9" i="1"/>
  <c r="CP65" i="1"/>
  <c r="CR65" i="1" s="1"/>
  <c r="CP74" i="1"/>
  <c r="CP181" i="1"/>
  <c r="CP47" i="1"/>
  <c r="CP139" i="1"/>
  <c r="CT139" i="1" s="1"/>
  <c r="CP128" i="1"/>
  <c r="CP205" i="1"/>
  <c r="CP138" i="1"/>
  <c r="CP174" i="1"/>
  <c r="CR174" i="1" s="1"/>
  <c r="CP160" i="1"/>
  <c r="CP103" i="1"/>
  <c r="CP62" i="1"/>
  <c r="CP51" i="1"/>
  <c r="CP196" i="1"/>
  <c r="CP137" i="1"/>
  <c r="CP134" i="1"/>
  <c r="CP171" i="1"/>
  <c r="CP170" i="1"/>
  <c r="CP225" i="1"/>
  <c r="CP182" i="1"/>
  <c r="CP189" i="1"/>
  <c r="CP248" i="1"/>
  <c r="CP172" i="1"/>
  <c r="CP254" i="1"/>
  <c r="CP201" i="1"/>
  <c r="CP161" i="1"/>
  <c r="CP149" i="1"/>
  <c r="CP164" i="1"/>
  <c r="CP250" i="1"/>
  <c r="CP230" i="1"/>
  <c r="CP203" i="1"/>
  <c r="CP210" i="1"/>
  <c r="CP48" i="1"/>
  <c r="CP76" i="1"/>
  <c r="CP71" i="1"/>
  <c r="CP268" i="1"/>
  <c r="CP176" i="1"/>
  <c r="CP54" i="1"/>
  <c r="CP80" i="1"/>
  <c r="CP106" i="1"/>
  <c r="CP155" i="1"/>
  <c r="CP235" i="1"/>
  <c r="CP224" i="1"/>
  <c r="CP28" i="1"/>
  <c r="CP150" i="1"/>
  <c r="CP263" i="1"/>
  <c r="CP262" i="1"/>
  <c r="CP70" i="1"/>
  <c r="CP180" i="1"/>
  <c r="CP25" i="1"/>
  <c r="CP13" i="1"/>
  <c r="CP6" i="1"/>
  <c r="CP34" i="1"/>
  <c r="CP256" i="1"/>
  <c r="CP194" i="1"/>
  <c r="CP198" i="1"/>
  <c r="CP197" i="1"/>
  <c r="CP84" i="1"/>
  <c r="CP97" i="1"/>
  <c r="CP143" i="1"/>
  <c r="CP233" i="1"/>
  <c r="CP63" i="1"/>
  <c r="CP169" i="1"/>
  <c r="CP67" i="1"/>
  <c r="CP55" i="1"/>
  <c r="CP173" i="1"/>
  <c r="CP261" i="1"/>
  <c r="CP246" i="1"/>
  <c r="CP129" i="1"/>
  <c r="CP227" i="1"/>
  <c r="CP7" i="1"/>
  <c r="CP46" i="1"/>
  <c r="CP265" i="1"/>
  <c r="CP83" i="1"/>
  <c r="CP53" i="1"/>
  <c r="CP260" i="1"/>
  <c r="CP50" i="1"/>
  <c r="CP82" i="1"/>
  <c r="CP99" i="1"/>
  <c r="CP220" i="1"/>
  <c r="CP253" i="1"/>
  <c r="CP231" i="1"/>
  <c r="CP199" i="1"/>
  <c r="CP183" i="1"/>
  <c r="CP88" i="1"/>
  <c r="CP37" i="1"/>
  <c r="CP166" i="1"/>
  <c r="CP23" i="1"/>
  <c r="CP219" i="1"/>
  <c r="CP117" i="1"/>
  <c r="CP56" i="1"/>
  <c r="CP15" i="1"/>
  <c r="CP192" i="1"/>
  <c r="CP10" i="1"/>
  <c r="CP21" i="1"/>
  <c r="CP238" i="1"/>
  <c r="CP38" i="1"/>
  <c r="CP131" i="1"/>
  <c r="CP206" i="1"/>
  <c r="CP214" i="1"/>
  <c r="CP79" i="1"/>
  <c r="CP41" i="1"/>
  <c r="CP22" i="1"/>
  <c r="CP228" i="1"/>
  <c r="CP93" i="1"/>
  <c r="CP133" i="1"/>
  <c r="CP240" i="1"/>
  <c r="CP16" i="1"/>
  <c r="CP66" i="1"/>
  <c r="CP127" i="1"/>
  <c r="CP98" i="1"/>
  <c r="CP186" i="1"/>
  <c r="CP221" i="1"/>
  <c r="CP118" i="1"/>
  <c r="CP121" i="1"/>
  <c r="CP18" i="1"/>
  <c r="CP109" i="1"/>
  <c r="CP244" i="1"/>
  <c r="CP45" i="1"/>
  <c r="CP204" i="1"/>
  <c r="CP270" i="1"/>
  <c r="CP113" i="1"/>
  <c r="CP151" i="1"/>
  <c r="CP77" i="1"/>
  <c r="CP226" i="1"/>
  <c r="CP64" i="1"/>
  <c r="CP58" i="1"/>
  <c r="CP145" i="1"/>
  <c r="CP96" i="1"/>
  <c r="CP61" i="1"/>
  <c r="CP90" i="1"/>
  <c r="CP69" i="1"/>
  <c r="CP89" i="1"/>
  <c r="CP60" i="1"/>
  <c r="CP144" i="1"/>
  <c r="CP184" i="1"/>
  <c r="CP132" i="1"/>
  <c r="CP264" i="1"/>
  <c r="CP239" i="1"/>
  <c r="CP120" i="1"/>
  <c r="CP211" i="1"/>
  <c r="CP8" i="1"/>
  <c r="CP87" i="1"/>
  <c r="CP124" i="1"/>
  <c r="CP232" i="1"/>
  <c r="CP213" i="1"/>
  <c r="CP146" i="1"/>
  <c r="CP243" i="1"/>
  <c r="CP242" i="1"/>
  <c r="CP130" i="1"/>
  <c r="CP229" i="1"/>
  <c r="CP252" i="1"/>
  <c r="CP142" i="1"/>
  <c r="CP26" i="1"/>
  <c r="CP27" i="1"/>
  <c r="CP147" i="1"/>
  <c r="CP36" i="1"/>
  <c r="CP190" i="1"/>
  <c r="CP237" i="1"/>
  <c r="CP44" i="1"/>
  <c r="CP175" i="1"/>
  <c r="CP31" i="1"/>
  <c r="CP188" i="1"/>
  <c r="CP122" i="1"/>
  <c r="CP141" i="1"/>
  <c r="CP195" i="1"/>
  <c r="CP255" i="1"/>
  <c r="CP114" i="1"/>
  <c r="CP119" i="1"/>
  <c r="CP156" i="1"/>
  <c r="CP92" i="1"/>
  <c r="CP49" i="1"/>
  <c r="CP35" i="1"/>
  <c r="CP32" i="1"/>
  <c r="CP207" i="1"/>
  <c r="CP162" i="1"/>
  <c r="CP59" i="1"/>
  <c r="CP234" i="1"/>
  <c r="CP135" i="1"/>
  <c r="CP81" i="1"/>
  <c r="CP72" i="1"/>
  <c r="CP216" i="1"/>
  <c r="CP185" i="1"/>
  <c r="CP258" i="1"/>
  <c r="CP17" i="1"/>
  <c r="CP101" i="1"/>
  <c r="CP52" i="1"/>
  <c r="CP167" i="1"/>
  <c r="CP105" i="1"/>
  <c r="CP42" i="1"/>
  <c r="CP107" i="1"/>
  <c r="CP116" i="1"/>
  <c r="CP14" i="1"/>
  <c r="CP57" i="1"/>
  <c r="CP43" i="1"/>
  <c r="CP152" i="1"/>
  <c r="CP30" i="1"/>
  <c r="CP110" i="1"/>
  <c r="CP163" i="1"/>
  <c r="CP187" i="1"/>
  <c r="CP200" i="1"/>
  <c r="CP85" i="1"/>
  <c r="CP104" i="1"/>
  <c r="CP148" i="1"/>
  <c r="CP245" i="1"/>
  <c r="CP165" i="1"/>
  <c r="CP222" i="1"/>
  <c r="CP95" i="1"/>
  <c r="CP269" i="1"/>
  <c r="CP91" i="1"/>
  <c r="CP136" i="1"/>
  <c r="CP212" i="1"/>
  <c r="CP158" i="1"/>
  <c r="CP86" i="1"/>
  <c r="CP179" i="1"/>
  <c r="CP29" i="1"/>
  <c r="CP153" i="1"/>
  <c r="CP223" i="1"/>
  <c r="CP247" i="1"/>
  <c r="CP259" i="1"/>
  <c r="CP108" i="1"/>
  <c r="CP168" i="1"/>
  <c r="CP102" i="1"/>
  <c r="CP11" i="1"/>
  <c r="CP68" i="1"/>
  <c r="CP191" i="1"/>
  <c r="CP178" i="1"/>
  <c r="CP217" i="1"/>
  <c r="CP218" i="1"/>
  <c r="CP40" i="1"/>
  <c r="CP75" i="1"/>
  <c r="CP20" i="1"/>
  <c r="CP73" i="1"/>
  <c r="CP140" i="1"/>
  <c r="CP125" i="1"/>
  <c r="CP115" i="1"/>
  <c r="CP154" i="1"/>
  <c r="CP267" i="1"/>
  <c r="CP177" i="1"/>
  <c r="CP19" i="1"/>
  <c r="CP202" i="1"/>
  <c r="CP236" i="1"/>
  <c r="CQ257" i="1" l="1"/>
  <c r="CT257" i="1"/>
  <c r="CS257" i="1"/>
  <c r="CR257" i="1"/>
  <c r="CR112" i="1"/>
  <c r="DB112" i="1"/>
  <c r="DA257" i="1"/>
  <c r="CV257" i="1"/>
  <c r="CZ257" i="1"/>
  <c r="CX257" i="1"/>
  <c r="DC257" i="1"/>
  <c r="CU257" i="1"/>
  <c r="CW257" i="1"/>
  <c r="DB257" i="1"/>
  <c r="CY257" i="1"/>
  <c r="CZ112" i="1"/>
  <c r="DA112" i="1"/>
  <c r="DC112" i="1"/>
  <c r="CU112" i="1"/>
  <c r="DD112" i="1"/>
  <c r="CY112" i="1"/>
  <c r="CQ112" i="1"/>
  <c r="CT112" i="1"/>
  <c r="CW112" i="1"/>
  <c r="CS112" i="1"/>
  <c r="CX112" i="1"/>
  <c r="C38" i="3"/>
  <c r="F37" i="3"/>
  <c r="E45" i="3"/>
  <c r="DA266" i="1"/>
  <c r="CU100" i="1"/>
  <c r="CS100" i="1"/>
  <c r="CW100" i="1"/>
  <c r="CT100" i="1"/>
  <c r="CX100" i="1"/>
  <c r="CV100" i="1"/>
  <c r="CS185" i="1"/>
  <c r="CW185" i="1"/>
  <c r="CV185" i="1"/>
  <c r="CT185" i="1"/>
  <c r="CX185" i="1"/>
  <c r="CU185" i="1"/>
  <c r="CV126" i="1"/>
  <c r="CT126" i="1"/>
  <c r="DA126" i="1"/>
  <c r="CY126" i="1"/>
  <c r="DC126" i="1"/>
  <c r="CX126" i="1"/>
  <c r="CU126" i="1"/>
  <c r="CS126" i="1"/>
  <c r="DB126" i="1"/>
  <c r="CW126" i="1"/>
  <c r="DD126" i="1"/>
  <c r="CR126" i="1"/>
  <c r="CZ126" i="1"/>
  <c r="DB209" i="1"/>
  <c r="CV209" i="1"/>
  <c r="DD209" i="1"/>
  <c r="CX209" i="1"/>
  <c r="CT209" i="1"/>
  <c r="CZ209" i="1"/>
  <c r="CW209" i="1"/>
  <c r="CQ209" i="1"/>
  <c r="CS209" i="1"/>
  <c r="DA209" i="1"/>
  <c r="CY209" i="1"/>
  <c r="CR209" i="1"/>
  <c r="DC209" i="1"/>
  <c r="DA12" i="1"/>
  <c r="CS12" i="1"/>
  <c r="CW123" i="1"/>
  <c r="CR78" i="1"/>
  <c r="CX123" i="1"/>
  <c r="CR94" i="1"/>
  <c r="CR12" i="1"/>
  <c r="CS249" i="1"/>
  <c r="CT12" i="1"/>
  <c r="DB94" i="1"/>
  <c r="CQ249" i="1"/>
  <c r="CT94" i="1"/>
  <c r="CR249" i="1"/>
  <c r="CX94" i="1"/>
  <c r="CS94" i="1"/>
  <c r="CT249" i="1"/>
  <c r="CY94" i="1"/>
  <c r="DC249" i="1"/>
  <c r="CZ12" i="1"/>
  <c r="DA78" i="1"/>
  <c r="DB249" i="1"/>
  <c r="CV12" i="1"/>
  <c r="DA94" i="1"/>
  <c r="DC12" i="1"/>
  <c r="CW94" i="1"/>
  <c r="CX12" i="1"/>
  <c r="CY12" i="1"/>
  <c r="DD94" i="1"/>
  <c r="DD12" i="1"/>
  <c r="DC94" i="1"/>
  <c r="DB12" i="1"/>
  <c r="CZ94" i="1"/>
  <c r="CW12" i="1"/>
  <c r="CU12" i="1"/>
  <c r="CQ94" i="1"/>
  <c r="DC123" i="1"/>
  <c r="CS123" i="1"/>
  <c r="DA123" i="1"/>
  <c r="CV94" i="1"/>
  <c r="DB208" i="1"/>
  <c r="CZ208" i="1"/>
  <c r="CR208" i="1"/>
  <c r="CS111" i="1"/>
  <c r="CR123" i="1"/>
  <c r="CT208" i="1"/>
  <c r="DA208" i="1"/>
  <c r="DB123" i="1"/>
  <c r="CV123" i="1"/>
  <c r="CY123" i="1"/>
  <c r="CX208" i="1"/>
  <c r="CY208" i="1"/>
  <c r="DD123" i="1"/>
  <c r="DD208" i="1"/>
  <c r="CV208" i="1"/>
  <c r="CT123" i="1"/>
  <c r="CS208" i="1"/>
  <c r="DC208" i="1"/>
  <c r="CZ123" i="1"/>
  <c r="CU123" i="1"/>
  <c r="CW208" i="1"/>
  <c r="CU208" i="1"/>
  <c r="DA249" i="1"/>
  <c r="CV249" i="1"/>
  <c r="CZ249" i="1"/>
  <c r="CT78" i="1"/>
  <c r="DB78" i="1"/>
  <c r="DD78" i="1"/>
  <c r="CS78" i="1"/>
  <c r="CR266" i="1"/>
  <c r="CZ78" i="1"/>
  <c r="DC78" i="1"/>
  <c r="CV78" i="1"/>
  <c r="CX78" i="1"/>
  <c r="CU78" i="1"/>
  <c r="CQ78" i="1"/>
  <c r="CW249" i="1"/>
  <c r="CW78" i="1"/>
  <c r="CX249" i="1"/>
  <c r="DD249" i="1"/>
  <c r="CY249" i="1"/>
  <c r="DA111" i="1"/>
  <c r="CV111" i="1"/>
  <c r="DD111" i="1"/>
  <c r="CT266" i="1"/>
  <c r="CX111" i="1"/>
  <c r="CU111" i="1"/>
  <c r="CW111" i="1"/>
  <c r="CQ111" i="1"/>
  <c r="CR111" i="1"/>
  <c r="DB111" i="1"/>
  <c r="CZ111" i="1"/>
  <c r="CT111" i="1"/>
  <c r="DC111" i="1"/>
  <c r="CQ115" i="1"/>
  <c r="DD115" i="1"/>
  <c r="CQ217" i="1"/>
  <c r="DD217" i="1"/>
  <c r="CQ259" i="1"/>
  <c r="DD259" i="1"/>
  <c r="CQ158" i="1"/>
  <c r="DD158" i="1"/>
  <c r="CQ200" i="1"/>
  <c r="DD200" i="1"/>
  <c r="CQ14" i="1"/>
  <c r="DD14" i="1"/>
  <c r="CQ216" i="1"/>
  <c r="DD216" i="1"/>
  <c r="CQ156" i="1"/>
  <c r="DD156" i="1"/>
  <c r="CQ190" i="1"/>
  <c r="DD190" i="1"/>
  <c r="CQ213" i="1"/>
  <c r="DD213" i="1"/>
  <c r="CQ60" i="1"/>
  <c r="DD60" i="1"/>
  <c r="CQ64" i="1"/>
  <c r="DD64" i="1"/>
  <c r="CQ244" i="1"/>
  <c r="DD244" i="1"/>
  <c r="CQ127" i="1"/>
  <c r="DD127" i="1"/>
  <c r="CQ206" i="1"/>
  <c r="DD206" i="1"/>
  <c r="CQ166" i="1"/>
  <c r="DD166" i="1"/>
  <c r="CQ53" i="1"/>
  <c r="DD53" i="1"/>
  <c r="CQ261" i="1"/>
  <c r="DD261" i="1"/>
  <c r="CQ6" i="1"/>
  <c r="DD6" i="1"/>
  <c r="CQ28" i="1"/>
  <c r="DD28" i="1"/>
  <c r="CQ210" i="1"/>
  <c r="DD210" i="1"/>
  <c r="CQ134" i="1"/>
  <c r="DD134" i="1"/>
  <c r="CQ160" i="1"/>
  <c r="DD160" i="1"/>
  <c r="CQ74" i="1"/>
  <c r="DD74" i="1"/>
  <c r="CQ236" i="1"/>
  <c r="DD236" i="1"/>
  <c r="CQ267" i="1"/>
  <c r="DD267" i="1"/>
  <c r="CQ125" i="1"/>
  <c r="DD125" i="1"/>
  <c r="CQ75" i="1"/>
  <c r="DD75" i="1"/>
  <c r="CQ178" i="1"/>
  <c r="DD178" i="1"/>
  <c r="CQ102" i="1"/>
  <c r="DD102" i="1"/>
  <c r="CQ247" i="1"/>
  <c r="DD247" i="1"/>
  <c r="CQ179" i="1"/>
  <c r="DD179" i="1"/>
  <c r="CQ212" i="1"/>
  <c r="DD212" i="1"/>
  <c r="CQ95" i="1"/>
  <c r="DD95" i="1"/>
  <c r="CQ148" i="1"/>
  <c r="DD148" i="1"/>
  <c r="CQ187" i="1"/>
  <c r="DD187" i="1"/>
  <c r="CQ152" i="1"/>
  <c r="DD152" i="1"/>
  <c r="CQ116" i="1"/>
  <c r="DD116" i="1"/>
  <c r="CQ105" i="1"/>
  <c r="DD105" i="1"/>
  <c r="CQ17" i="1"/>
  <c r="DD17" i="1"/>
  <c r="CQ72" i="1"/>
  <c r="DD72" i="1"/>
  <c r="CQ59" i="1"/>
  <c r="DD59" i="1"/>
  <c r="CQ35" i="1"/>
  <c r="DD35" i="1"/>
  <c r="CQ119" i="1"/>
  <c r="DD119" i="1"/>
  <c r="CQ141" i="1"/>
  <c r="DD141" i="1"/>
  <c r="CQ175" i="1"/>
  <c r="DD175" i="1"/>
  <c r="CQ36" i="1"/>
  <c r="DD36" i="1"/>
  <c r="CQ142" i="1"/>
  <c r="DD142" i="1"/>
  <c r="CQ242" i="1"/>
  <c r="DD242" i="1"/>
  <c r="CQ232" i="1"/>
  <c r="DD232" i="1"/>
  <c r="CQ211" i="1"/>
  <c r="DD211" i="1"/>
  <c r="CQ132" i="1"/>
  <c r="DD132" i="1"/>
  <c r="CQ89" i="1"/>
  <c r="DD89" i="1"/>
  <c r="CQ96" i="1"/>
  <c r="DD96" i="1"/>
  <c r="CQ226" i="1"/>
  <c r="DD226" i="1"/>
  <c r="CQ270" i="1"/>
  <c r="DD270" i="1"/>
  <c r="CQ109" i="1"/>
  <c r="DD109" i="1"/>
  <c r="CQ221" i="1"/>
  <c r="DD221" i="1"/>
  <c r="CQ66" i="1"/>
  <c r="DD66" i="1"/>
  <c r="CQ133" i="1"/>
  <c r="DD133" i="1"/>
  <c r="CQ41" i="1"/>
  <c r="DD41" i="1"/>
  <c r="CQ131" i="1"/>
  <c r="DD131" i="1"/>
  <c r="CQ10" i="1"/>
  <c r="DD10" i="1"/>
  <c r="CQ117" i="1"/>
  <c r="DD117" i="1"/>
  <c r="CQ37" i="1"/>
  <c r="DD37" i="1"/>
  <c r="CQ231" i="1"/>
  <c r="DD231" i="1"/>
  <c r="CQ82" i="1"/>
  <c r="DD82" i="1"/>
  <c r="CQ83" i="1"/>
  <c r="DD83" i="1"/>
  <c r="CQ227" i="1"/>
  <c r="DD227" i="1"/>
  <c r="CQ173" i="1"/>
  <c r="DD173" i="1"/>
  <c r="CQ169" i="1"/>
  <c r="DD169" i="1"/>
  <c r="CQ97" i="1"/>
  <c r="DD97" i="1"/>
  <c r="CQ194" i="1"/>
  <c r="DD194" i="1"/>
  <c r="CQ13" i="1"/>
  <c r="DD13" i="1"/>
  <c r="CQ262" i="1"/>
  <c r="DD262" i="1"/>
  <c r="CQ224" i="1"/>
  <c r="DD224" i="1"/>
  <c r="CQ80" i="1"/>
  <c r="DD80" i="1"/>
  <c r="CQ71" i="1"/>
  <c r="DD71" i="1"/>
  <c r="CQ203" i="1"/>
  <c r="DD203" i="1"/>
  <c r="CQ149" i="1"/>
  <c r="DD149" i="1"/>
  <c r="CQ172" i="1"/>
  <c r="DD172" i="1"/>
  <c r="CQ225" i="1"/>
  <c r="DD225" i="1"/>
  <c r="CQ137" i="1"/>
  <c r="DD137" i="1"/>
  <c r="CQ51" i="1"/>
  <c r="DD51" i="1"/>
  <c r="CQ174" i="1"/>
  <c r="DD174" i="1"/>
  <c r="CQ139" i="1"/>
  <c r="DD139" i="1"/>
  <c r="CQ65" i="1"/>
  <c r="DD65" i="1"/>
  <c r="CQ193" i="1"/>
  <c r="DD193" i="1"/>
  <c r="CQ251" i="1"/>
  <c r="DD251" i="1"/>
  <c r="CQ269" i="1"/>
  <c r="DD269" i="1"/>
  <c r="CQ42" i="1"/>
  <c r="DD42" i="1"/>
  <c r="CQ234" i="1"/>
  <c r="DD234" i="1"/>
  <c r="CQ195" i="1"/>
  <c r="DD195" i="1"/>
  <c r="CQ26" i="1"/>
  <c r="DD26" i="1"/>
  <c r="CQ264" i="1"/>
  <c r="DD264" i="1"/>
  <c r="CQ113" i="1"/>
  <c r="DD113" i="1"/>
  <c r="CQ21" i="1"/>
  <c r="DD21" i="1"/>
  <c r="CQ99" i="1"/>
  <c r="DD99" i="1"/>
  <c r="CQ7" i="1"/>
  <c r="DD7" i="1"/>
  <c r="CQ143" i="1"/>
  <c r="DD143" i="1"/>
  <c r="CQ70" i="1"/>
  <c r="DD70" i="1"/>
  <c r="CQ268" i="1"/>
  <c r="DD268" i="1"/>
  <c r="CQ254" i="1"/>
  <c r="DD254" i="1"/>
  <c r="CQ24" i="1"/>
  <c r="DD24" i="1"/>
  <c r="CQ191" i="1"/>
  <c r="DD191" i="1"/>
  <c r="CQ215" i="1"/>
  <c r="DD215" i="1"/>
  <c r="CQ104" i="1"/>
  <c r="DD104" i="1"/>
  <c r="CQ107" i="1"/>
  <c r="DD107" i="1"/>
  <c r="CQ81" i="1"/>
  <c r="DD81" i="1"/>
  <c r="CQ49" i="1"/>
  <c r="DD49" i="1"/>
  <c r="CQ122" i="1"/>
  <c r="DD122" i="1"/>
  <c r="CQ44" i="1"/>
  <c r="DD44" i="1"/>
  <c r="CQ147" i="1"/>
  <c r="DD147" i="1"/>
  <c r="CQ252" i="1"/>
  <c r="DD252" i="1"/>
  <c r="CQ243" i="1"/>
  <c r="DD243" i="1"/>
  <c r="CQ124" i="1"/>
  <c r="DD124" i="1"/>
  <c r="CQ120" i="1"/>
  <c r="DD120" i="1"/>
  <c r="CQ184" i="1"/>
  <c r="DD184" i="1"/>
  <c r="CQ69" i="1"/>
  <c r="DD69" i="1"/>
  <c r="CQ145" i="1"/>
  <c r="DD145" i="1"/>
  <c r="CQ77" i="1"/>
  <c r="DD77" i="1"/>
  <c r="CQ204" i="1"/>
  <c r="DD204" i="1"/>
  <c r="CQ18" i="1"/>
  <c r="DD18" i="1"/>
  <c r="CQ186" i="1"/>
  <c r="DD186" i="1"/>
  <c r="CQ16" i="1"/>
  <c r="DD16" i="1"/>
  <c r="CQ93" i="1"/>
  <c r="DD93" i="1"/>
  <c r="CQ79" i="1"/>
  <c r="DD79" i="1"/>
  <c r="CQ38" i="1"/>
  <c r="DD38" i="1"/>
  <c r="CQ192" i="1"/>
  <c r="DD192" i="1"/>
  <c r="CQ219" i="1"/>
  <c r="DD219" i="1"/>
  <c r="CQ88" i="1"/>
  <c r="DD88" i="1"/>
  <c r="CQ253" i="1"/>
  <c r="DD253" i="1"/>
  <c r="CQ50" i="1"/>
  <c r="DD50" i="1"/>
  <c r="CQ265" i="1"/>
  <c r="DD265" i="1"/>
  <c r="CQ129" i="1"/>
  <c r="DD129" i="1"/>
  <c r="CQ100" i="1"/>
  <c r="DD100" i="1"/>
  <c r="CQ63" i="1"/>
  <c r="DD63" i="1"/>
  <c r="CQ84" i="1"/>
  <c r="DD84" i="1"/>
  <c r="CQ256" i="1"/>
  <c r="DD256" i="1"/>
  <c r="CQ25" i="1"/>
  <c r="DD25" i="1"/>
  <c r="CQ263" i="1"/>
  <c r="DD263" i="1"/>
  <c r="CQ235" i="1"/>
  <c r="DD235" i="1"/>
  <c r="CQ54" i="1"/>
  <c r="DD54" i="1"/>
  <c r="CQ76" i="1"/>
  <c r="DD76" i="1"/>
  <c r="CQ230" i="1"/>
  <c r="DD230" i="1"/>
  <c r="CQ161" i="1"/>
  <c r="DD161" i="1"/>
  <c r="CQ248" i="1"/>
  <c r="DD248" i="1"/>
  <c r="CQ170" i="1"/>
  <c r="DD170" i="1"/>
  <c r="CQ62" i="1"/>
  <c r="DD62" i="1"/>
  <c r="CQ138" i="1"/>
  <c r="DD138" i="1"/>
  <c r="CQ47" i="1"/>
  <c r="DD47" i="1"/>
  <c r="CQ9" i="1"/>
  <c r="DD9" i="1"/>
  <c r="CQ33" i="1"/>
  <c r="DD33" i="1"/>
  <c r="CQ241" i="1"/>
  <c r="DD241" i="1"/>
  <c r="CQ177" i="1"/>
  <c r="DD177" i="1"/>
  <c r="CQ20" i="1"/>
  <c r="DD20" i="1"/>
  <c r="CQ11" i="1"/>
  <c r="DD11" i="1"/>
  <c r="CQ29" i="1"/>
  <c r="DD29" i="1"/>
  <c r="CQ245" i="1"/>
  <c r="DD245" i="1"/>
  <c r="CQ30" i="1"/>
  <c r="DD30" i="1"/>
  <c r="CQ101" i="1"/>
  <c r="DD101" i="1"/>
  <c r="CQ32" i="1"/>
  <c r="DD32" i="1"/>
  <c r="CQ31" i="1"/>
  <c r="DD31" i="1"/>
  <c r="CQ130" i="1"/>
  <c r="DD130" i="1"/>
  <c r="CQ8" i="1"/>
  <c r="DD8" i="1"/>
  <c r="CQ61" i="1"/>
  <c r="DD61" i="1"/>
  <c r="CQ118" i="1"/>
  <c r="DD118" i="1"/>
  <c r="CQ22" i="1"/>
  <c r="DD22" i="1"/>
  <c r="CQ56" i="1"/>
  <c r="DD56" i="1"/>
  <c r="CQ199" i="1"/>
  <c r="DD199" i="1"/>
  <c r="CQ67" i="1"/>
  <c r="DD67" i="1"/>
  <c r="CQ198" i="1"/>
  <c r="DD198" i="1"/>
  <c r="CQ106" i="1"/>
  <c r="DD106" i="1"/>
  <c r="CQ164" i="1"/>
  <c r="DD164" i="1"/>
  <c r="CQ182" i="1"/>
  <c r="DD182" i="1"/>
  <c r="CQ196" i="1"/>
  <c r="DD196" i="1"/>
  <c r="CQ128" i="1"/>
  <c r="DD128" i="1"/>
  <c r="CQ157" i="1"/>
  <c r="DD157" i="1"/>
  <c r="CQ202" i="1"/>
  <c r="DD202" i="1"/>
  <c r="CQ140" i="1"/>
  <c r="DD140" i="1"/>
  <c r="CQ40" i="1"/>
  <c r="DD40" i="1"/>
  <c r="CQ168" i="1"/>
  <c r="DD168" i="1"/>
  <c r="CQ223" i="1"/>
  <c r="DD223" i="1"/>
  <c r="CQ136" i="1"/>
  <c r="DD136" i="1"/>
  <c r="CQ222" i="1"/>
  <c r="DD222" i="1"/>
  <c r="CQ163" i="1"/>
  <c r="DD163" i="1"/>
  <c r="CQ43" i="1"/>
  <c r="DD43" i="1"/>
  <c r="CQ167" i="1"/>
  <c r="DD167" i="1"/>
  <c r="CQ258" i="1"/>
  <c r="DD258" i="1"/>
  <c r="CQ162" i="1"/>
  <c r="DD162" i="1"/>
  <c r="CQ114" i="1"/>
  <c r="DD114" i="1"/>
  <c r="CQ19" i="1"/>
  <c r="DD19" i="1"/>
  <c r="CQ154" i="1"/>
  <c r="DD154" i="1"/>
  <c r="CQ73" i="1"/>
  <c r="DD73" i="1"/>
  <c r="CQ218" i="1"/>
  <c r="DD218" i="1"/>
  <c r="CQ68" i="1"/>
  <c r="DD68" i="1"/>
  <c r="CQ108" i="1"/>
  <c r="DD108" i="1"/>
  <c r="CQ153" i="1"/>
  <c r="DD153" i="1"/>
  <c r="CQ86" i="1"/>
  <c r="DD86" i="1"/>
  <c r="CQ91" i="1"/>
  <c r="DD91" i="1"/>
  <c r="CQ165" i="1"/>
  <c r="DD165" i="1"/>
  <c r="CQ85" i="1"/>
  <c r="DD85" i="1"/>
  <c r="CQ110" i="1"/>
  <c r="DD110" i="1"/>
  <c r="CQ57" i="1"/>
  <c r="DD57" i="1"/>
  <c r="CQ52" i="1"/>
  <c r="DD52" i="1"/>
  <c r="CQ185" i="1"/>
  <c r="DD185" i="1"/>
  <c r="CQ135" i="1"/>
  <c r="DD135" i="1"/>
  <c r="CQ207" i="1"/>
  <c r="DD207" i="1"/>
  <c r="CQ92" i="1"/>
  <c r="DD92" i="1"/>
  <c r="CQ255" i="1"/>
  <c r="DD255" i="1"/>
  <c r="CQ188" i="1"/>
  <c r="DD188" i="1"/>
  <c r="CQ237" i="1"/>
  <c r="DD237" i="1"/>
  <c r="CQ27" i="1"/>
  <c r="DD27" i="1"/>
  <c r="CQ229" i="1"/>
  <c r="DD229" i="1"/>
  <c r="CQ146" i="1"/>
  <c r="DD146" i="1"/>
  <c r="CQ87" i="1"/>
  <c r="DD87" i="1"/>
  <c r="CQ239" i="1"/>
  <c r="DD239" i="1"/>
  <c r="CQ144" i="1"/>
  <c r="DD144" i="1"/>
  <c r="CQ90" i="1"/>
  <c r="DD90" i="1"/>
  <c r="CQ58" i="1"/>
  <c r="DD58" i="1"/>
  <c r="CQ151" i="1"/>
  <c r="DD151" i="1"/>
  <c r="CQ45" i="1"/>
  <c r="DD45" i="1"/>
  <c r="CQ121" i="1"/>
  <c r="DD121" i="1"/>
  <c r="CQ98" i="1"/>
  <c r="DD98" i="1"/>
  <c r="CQ240" i="1"/>
  <c r="DD240" i="1"/>
  <c r="CQ228" i="1"/>
  <c r="DD228" i="1"/>
  <c r="CQ214" i="1"/>
  <c r="DD214" i="1"/>
  <c r="CQ238" i="1"/>
  <c r="DD238" i="1"/>
  <c r="CQ15" i="1"/>
  <c r="DD15" i="1"/>
  <c r="CQ23" i="1"/>
  <c r="DD23" i="1"/>
  <c r="CQ183" i="1"/>
  <c r="DD183" i="1"/>
  <c r="CQ220" i="1"/>
  <c r="DD220" i="1"/>
  <c r="CQ260" i="1"/>
  <c r="DD260" i="1"/>
  <c r="CQ46" i="1"/>
  <c r="DD46" i="1"/>
  <c r="CQ246" i="1"/>
  <c r="DD246" i="1"/>
  <c r="CQ55" i="1"/>
  <c r="DD55" i="1"/>
  <c r="CQ233" i="1"/>
  <c r="DD233" i="1"/>
  <c r="CQ197" i="1"/>
  <c r="DD197" i="1"/>
  <c r="CQ34" i="1"/>
  <c r="DD34" i="1"/>
  <c r="CQ180" i="1"/>
  <c r="DD180" i="1"/>
  <c r="CQ150" i="1"/>
  <c r="DD150" i="1"/>
  <c r="CQ155" i="1"/>
  <c r="DD155" i="1"/>
  <c r="CQ176" i="1"/>
  <c r="DD176" i="1"/>
  <c r="CQ48" i="1"/>
  <c r="DD48" i="1"/>
  <c r="CQ250" i="1"/>
  <c r="DD250" i="1"/>
  <c r="CQ201" i="1"/>
  <c r="DD201" i="1"/>
  <c r="CQ189" i="1"/>
  <c r="DD189" i="1"/>
  <c r="CQ171" i="1"/>
  <c r="DD171" i="1"/>
  <c r="CQ103" i="1"/>
  <c r="DD103" i="1"/>
  <c r="CQ205" i="1"/>
  <c r="DD205" i="1"/>
  <c r="CQ181" i="1"/>
  <c r="DD181" i="1"/>
  <c r="CQ159" i="1"/>
  <c r="DD159" i="1"/>
  <c r="CQ39" i="1"/>
  <c r="DD39" i="1"/>
  <c r="CQ266" i="1"/>
  <c r="DD266" i="1"/>
  <c r="CW19" i="1"/>
  <c r="CX19" i="1"/>
  <c r="CU19" i="1"/>
  <c r="CV19" i="1"/>
  <c r="CY19" i="1"/>
  <c r="CZ19" i="1"/>
  <c r="CU218" i="1"/>
  <c r="CY218" i="1"/>
  <c r="CW218" i="1"/>
  <c r="CX218" i="1"/>
  <c r="CZ218" i="1"/>
  <c r="CV218" i="1"/>
  <c r="CW153" i="1"/>
  <c r="CX153" i="1"/>
  <c r="CY153" i="1"/>
  <c r="CU153" i="1"/>
  <c r="CZ153" i="1"/>
  <c r="CV153" i="1"/>
  <c r="CU91" i="1"/>
  <c r="CY91" i="1"/>
  <c r="CV91" i="1"/>
  <c r="CZ91" i="1"/>
  <c r="CW91" i="1"/>
  <c r="CX91" i="1"/>
  <c r="CU110" i="1"/>
  <c r="CY110" i="1"/>
  <c r="CX110" i="1"/>
  <c r="CZ110" i="1"/>
  <c r="CV110" i="1"/>
  <c r="CW110" i="1"/>
  <c r="CU52" i="1"/>
  <c r="CY52" i="1"/>
  <c r="CV52" i="1"/>
  <c r="CZ52" i="1"/>
  <c r="CW52" i="1"/>
  <c r="CX52" i="1"/>
  <c r="CW135" i="1"/>
  <c r="CX135" i="1"/>
  <c r="CY135" i="1"/>
  <c r="CU135" i="1"/>
  <c r="CZ135" i="1"/>
  <c r="CV135" i="1"/>
  <c r="CW255" i="1"/>
  <c r="CY255" i="1"/>
  <c r="CU255" i="1"/>
  <c r="CZ255" i="1"/>
  <c r="CV255" i="1"/>
  <c r="CX255" i="1"/>
  <c r="CW27" i="1"/>
  <c r="CX27" i="1"/>
  <c r="CU27" i="1"/>
  <c r="CZ27" i="1"/>
  <c r="CV27" i="1"/>
  <c r="CY27" i="1"/>
  <c r="CU146" i="1"/>
  <c r="CY146" i="1"/>
  <c r="CV146" i="1"/>
  <c r="CW146" i="1"/>
  <c r="CX146" i="1"/>
  <c r="CZ146" i="1"/>
  <c r="CU144" i="1"/>
  <c r="CY144" i="1"/>
  <c r="CW144" i="1"/>
  <c r="CX144" i="1"/>
  <c r="CZ144" i="1"/>
  <c r="CV144" i="1"/>
  <c r="CU58" i="1"/>
  <c r="CY58" i="1"/>
  <c r="CV58" i="1"/>
  <c r="CZ58" i="1"/>
  <c r="CW58" i="1"/>
  <c r="CX58" i="1"/>
  <c r="CW121" i="1"/>
  <c r="CV121" i="1"/>
  <c r="CX121" i="1"/>
  <c r="CY121" i="1"/>
  <c r="CU121" i="1"/>
  <c r="CZ121" i="1"/>
  <c r="CU240" i="1"/>
  <c r="CY240" i="1"/>
  <c r="CX240" i="1"/>
  <c r="CV240" i="1"/>
  <c r="CZ240" i="1"/>
  <c r="CW240" i="1"/>
  <c r="CU238" i="1"/>
  <c r="CY238" i="1"/>
  <c r="CZ238" i="1"/>
  <c r="CW238" i="1"/>
  <c r="CV238" i="1"/>
  <c r="CX238" i="1"/>
  <c r="CW183" i="1"/>
  <c r="CY183" i="1"/>
  <c r="CU183" i="1"/>
  <c r="CZ183" i="1"/>
  <c r="CV183" i="1"/>
  <c r="CX183" i="1"/>
  <c r="CW129" i="1"/>
  <c r="CV129" i="1"/>
  <c r="CX129" i="1"/>
  <c r="CY129" i="1"/>
  <c r="CZ129" i="1"/>
  <c r="CU129" i="1"/>
  <c r="CW63" i="1"/>
  <c r="CX63" i="1"/>
  <c r="CU63" i="1"/>
  <c r="CY63" i="1"/>
  <c r="CZ63" i="1"/>
  <c r="CV63" i="1"/>
  <c r="CU256" i="1"/>
  <c r="CY256" i="1"/>
  <c r="CX256" i="1"/>
  <c r="CV256" i="1"/>
  <c r="CZ256" i="1"/>
  <c r="CW256" i="1"/>
  <c r="CU263" i="1"/>
  <c r="CY263" i="1"/>
  <c r="CX263" i="1"/>
  <c r="CZ263" i="1"/>
  <c r="CV263" i="1"/>
  <c r="CW263" i="1"/>
  <c r="CU76" i="1"/>
  <c r="CY76" i="1"/>
  <c r="CZ76" i="1"/>
  <c r="CV76" i="1"/>
  <c r="CW76" i="1"/>
  <c r="CX76" i="1"/>
  <c r="CW161" i="1"/>
  <c r="CX161" i="1"/>
  <c r="CY161" i="1"/>
  <c r="CU161" i="1"/>
  <c r="CZ161" i="1"/>
  <c r="CV161" i="1"/>
  <c r="CU170" i="1"/>
  <c r="CY170" i="1"/>
  <c r="CV170" i="1"/>
  <c r="CZ170" i="1"/>
  <c r="CW170" i="1"/>
  <c r="CX170" i="1"/>
  <c r="CU62" i="1"/>
  <c r="CY62" i="1"/>
  <c r="CV62" i="1"/>
  <c r="CZ62" i="1"/>
  <c r="CW62" i="1"/>
  <c r="CX62" i="1"/>
  <c r="CW47" i="1"/>
  <c r="CX47" i="1"/>
  <c r="CU47" i="1"/>
  <c r="CY47" i="1"/>
  <c r="CZ47" i="1"/>
  <c r="CV47" i="1"/>
  <c r="CT9" i="1"/>
  <c r="CW9" i="1"/>
  <c r="CX9" i="1"/>
  <c r="CY9" i="1"/>
  <c r="CU9" i="1"/>
  <c r="CV9" i="1"/>
  <c r="CZ9" i="1"/>
  <c r="CW33" i="1"/>
  <c r="CX33" i="1"/>
  <c r="CY33" i="1"/>
  <c r="CV33" i="1"/>
  <c r="CZ33" i="1"/>
  <c r="CU33" i="1"/>
  <c r="DB241" i="1"/>
  <c r="CW241" i="1"/>
  <c r="CX241" i="1"/>
  <c r="CZ241" i="1"/>
  <c r="CY241" i="1"/>
  <c r="CU241" i="1"/>
  <c r="CV241" i="1"/>
  <c r="CW177" i="1"/>
  <c r="CX177" i="1"/>
  <c r="CU177" i="1"/>
  <c r="CZ177" i="1"/>
  <c r="CY177" i="1"/>
  <c r="CV177" i="1"/>
  <c r="CW115" i="1"/>
  <c r="CU115" i="1"/>
  <c r="CZ115" i="1"/>
  <c r="CV115" i="1"/>
  <c r="CX115" i="1"/>
  <c r="CY115" i="1"/>
  <c r="CU20" i="1"/>
  <c r="CY20" i="1"/>
  <c r="CV20" i="1"/>
  <c r="CZ20" i="1"/>
  <c r="CW20" i="1"/>
  <c r="CX20" i="1"/>
  <c r="CW217" i="1"/>
  <c r="CX217" i="1"/>
  <c r="CZ217" i="1"/>
  <c r="CY217" i="1"/>
  <c r="CU217" i="1"/>
  <c r="CV217" i="1"/>
  <c r="CW11" i="1"/>
  <c r="CX11" i="1"/>
  <c r="CU11" i="1"/>
  <c r="CZ11" i="1"/>
  <c r="CV11" i="1"/>
  <c r="CY11" i="1"/>
  <c r="CW259" i="1"/>
  <c r="CV259" i="1"/>
  <c r="CY259" i="1"/>
  <c r="CX259" i="1"/>
  <c r="CZ259" i="1"/>
  <c r="CU259" i="1"/>
  <c r="CW29" i="1"/>
  <c r="CX29" i="1"/>
  <c r="CY29" i="1"/>
  <c r="CZ29" i="1"/>
  <c r="CU29" i="1"/>
  <c r="CV29" i="1"/>
  <c r="CU158" i="1"/>
  <c r="CY158" i="1"/>
  <c r="CV158" i="1"/>
  <c r="CZ158" i="1"/>
  <c r="CW158" i="1"/>
  <c r="CX158" i="1"/>
  <c r="CW269" i="1"/>
  <c r="CY269" i="1"/>
  <c r="CU269" i="1"/>
  <c r="CZ269" i="1"/>
  <c r="CV269" i="1"/>
  <c r="CX269" i="1"/>
  <c r="CW245" i="1"/>
  <c r="CU245" i="1"/>
  <c r="CZ245" i="1"/>
  <c r="CX245" i="1"/>
  <c r="CV245" i="1"/>
  <c r="CY245" i="1"/>
  <c r="CU200" i="1"/>
  <c r="CY200" i="1"/>
  <c r="CX200" i="1"/>
  <c r="CZ200" i="1"/>
  <c r="CV200" i="1"/>
  <c r="CW200" i="1"/>
  <c r="CU30" i="1"/>
  <c r="CY30" i="1"/>
  <c r="CV30" i="1"/>
  <c r="CZ30" i="1"/>
  <c r="CW30" i="1"/>
  <c r="CX30" i="1"/>
  <c r="CU14" i="1"/>
  <c r="CY14" i="1"/>
  <c r="CV14" i="1"/>
  <c r="CZ14" i="1"/>
  <c r="CW14" i="1"/>
  <c r="CX14" i="1"/>
  <c r="CU42" i="1"/>
  <c r="CY42" i="1"/>
  <c r="CV42" i="1"/>
  <c r="CZ42" i="1"/>
  <c r="CW42" i="1"/>
  <c r="CX42" i="1"/>
  <c r="CW101" i="1"/>
  <c r="CY101" i="1"/>
  <c r="CU101" i="1"/>
  <c r="CZ101" i="1"/>
  <c r="CV101" i="1"/>
  <c r="CX101" i="1"/>
  <c r="CU216" i="1"/>
  <c r="CY216" i="1"/>
  <c r="CX216" i="1"/>
  <c r="CV216" i="1"/>
  <c r="CZ216" i="1"/>
  <c r="CW216" i="1"/>
  <c r="CU234" i="1"/>
  <c r="CY234" i="1"/>
  <c r="CW234" i="1"/>
  <c r="CZ234" i="1"/>
  <c r="CX234" i="1"/>
  <c r="CV234" i="1"/>
  <c r="CU32" i="1"/>
  <c r="CY32" i="1"/>
  <c r="CV32" i="1"/>
  <c r="CZ32" i="1"/>
  <c r="CW32" i="1"/>
  <c r="CX32" i="1"/>
  <c r="CU156" i="1"/>
  <c r="CY156" i="1"/>
  <c r="CV156" i="1"/>
  <c r="CZ156" i="1"/>
  <c r="CW156" i="1"/>
  <c r="CX156" i="1"/>
  <c r="CW195" i="1"/>
  <c r="CV195" i="1"/>
  <c r="CX195" i="1"/>
  <c r="CY195" i="1"/>
  <c r="CZ195" i="1"/>
  <c r="CU195" i="1"/>
  <c r="CW31" i="1"/>
  <c r="CX31" i="1"/>
  <c r="CU31" i="1"/>
  <c r="CY31" i="1"/>
  <c r="CZ31" i="1"/>
  <c r="CV31" i="1"/>
  <c r="CW190" i="1"/>
  <c r="CY190" i="1"/>
  <c r="CU190" i="1"/>
  <c r="CZ190" i="1"/>
  <c r="CV190" i="1"/>
  <c r="CX190" i="1"/>
  <c r="CU26" i="1"/>
  <c r="CY26" i="1"/>
  <c r="CV26" i="1"/>
  <c r="CZ26" i="1"/>
  <c r="CW26" i="1"/>
  <c r="CX26" i="1"/>
  <c r="CU130" i="1"/>
  <c r="CY130" i="1"/>
  <c r="CV130" i="1"/>
  <c r="CW130" i="1"/>
  <c r="CX130" i="1"/>
  <c r="CZ130" i="1"/>
  <c r="CW213" i="1"/>
  <c r="CU213" i="1"/>
  <c r="CZ213" i="1"/>
  <c r="CV213" i="1"/>
  <c r="CX213" i="1"/>
  <c r="CY213" i="1"/>
  <c r="CU8" i="1"/>
  <c r="CY8" i="1"/>
  <c r="CV8" i="1"/>
  <c r="CZ8" i="1"/>
  <c r="CW8" i="1"/>
  <c r="CX8" i="1"/>
  <c r="CW264" i="1"/>
  <c r="CX264" i="1"/>
  <c r="CU264" i="1"/>
  <c r="CY264" i="1"/>
  <c r="CZ264" i="1"/>
  <c r="CV264" i="1"/>
  <c r="CU60" i="1"/>
  <c r="CY60" i="1"/>
  <c r="CV60" i="1"/>
  <c r="CZ60" i="1"/>
  <c r="CW60" i="1"/>
  <c r="CX60" i="1"/>
  <c r="CW61" i="1"/>
  <c r="CX61" i="1"/>
  <c r="CY61" i="1"/>
  <c r="CZ61" i="1"/>
  <c r="CU61" i="1"/>
  <c r="CV61" i="1"/>
  <c r="CU64" i="1"/>
  <c r="CY64" i="1"/>
  <c r="CV64" i="1"/>
  <c r="CZ64" i="1"/>
  <c r="CW64" i="1"/>
  <c r="CX64" i="1"/>
  <c r="CU113" i="1"/>
  <c r="CY113" i="1"/>
  <c r="CX113" i="1"/>
  <c r="CZ113" i="1"/>
  <c r="CV113" i="1"/>
  <c r="CW113" i="1"/>
  <c r="CU244" i="1"/>
  <c r="CY244" i="1"/>
  <c r="CV244" i="1"/>
  <c r="CW244" i="1"/>
  <c r="CX244" i="1"/>
  <c r="CZ244" i="1"/>
  <c r="CU118" i="1"/>
  <c r="CY118" i="1"/>
  <c r="CX118" i="1"/>
  <c r="CZ118" i="1"/>
  <c r="CV118" i="1"/>
  <c r="CW118" i="1"/>
  <c r="CW127" i="1"/>
  <c r="CX127" i="1"/>
  <c r="CY127" i="1"/>
  <c r="CZ127" i="1"/>
  <c r="CU127" i="1"/>
  <c r="CV127" i="1"/>
  <c r="CU22" i="1"/>
  <c r="CY22" i="1"/>
  <c r="CV22" i="1"/>
  <c r="CZ22" i="1"/>
  <c r="CX22" i="1"/>
  <c r="CW22" i="1"/>
  <c r="CU206" i="1"/>
  <c r="CY206" i="1"/>
  <c r="CZ206" i="1"/>
  <c r="CW206" i="1"/>
  <c r="CV206" i="1"/>
  <c r="CX206" i="1"/>
  <c r="CW21" i="1"/>
  <c r="CX21" i="1"/>
  <c r="CY21" i="1"/>
  <c r="CU21" i="1"/>
  <c r="CV21" i="1"/>
  <c r="CZ21" i="1"/>
  <c r="CU56" i="1"/>
  <c r="CY56" i="1"/>
  <c r="CV56" i="1"/>
  <c r="CZ56" i="1"/>
  <c r="CW56" i="1"/>
  <c r="CX56" i="1"/>
  <c r="CU166" i="1"/>
  <c r="CY166" i="1"/>
  <c r="CV166" i="1"/>
  <c r="CZ166" i="1"/>
  <c r="CW166" i="1"/>
  <c r="CX166" i="1"/>
  <c r="CW199" i="1"/>
  <c r="CY199" i="1"/>
  <c r="CV199" i="1"/>
  <c r="CU199" i="1"/>
  <c r="CZ199" i="1"/>
  <c r="CX199" i="1"/>
  <c r="CW99" i="1"/>
  <c r="CU99" i="1"/>
  <c r="CZ99" i="1"/>
  <c r="CV99" i="1"/>
  <c r="CX99" i="1"/>
  <c r="CY99" i="1"/>
  <c r="CU260" i="1"/>
  <c r="CY260" i="1"/>
  <c r="CV260" i="1"/>
  <c r="CW260" i="1"/>
  <c r="CX260" i="1"/>
  <c r="CZ260" i="1"/>
  <c r="CU46" i="1"/>
  <c r="CY46" i="1"/>
  <c r="CV46" i="1"/>
  <c r="CZ46" i="1"/>
  <c r="CW46" i="1"/>
  <c r="CX46" i="1"/>
  <c r="CU246" i="1"/>
  <c r="CY246" i="1"/>
  <c r="CZ246" i="1"/>
  <c r="CV246" i="1"/>
  <c r="CW246" i="1"/>
  <c r="CX246" i="1"/>
  <c r="CW55" i="1"/>
  <c r="CX55" i="1"/>
  <c r="CU55" i="1"/>
  <c r="CV55" i="1"/>
  <c r="CY55" i="1"/>
  <c r="CZ55" i="1"/>
  <c r="CW233" i="1"/>
  <c r="CX233" i="1"/>
  <c r="CU233" i="1"/>
  <c r="CY233" i="1"/>
  <c r="CZ233" i="1"/>
  <c r="CV233" i="1"/>
  <c r="CW197" i="1"/>
  <c r="CU197" i="1"/>
  <c r="CZ197" i="1"/>
  <c r="CX197" i="1"/>
  <c r="CV197" i="1"/>
  <c r="CY197" i="1"/>
  <c r="CU34" i="1"/>
  <c r="CY34" i="1"/>
  <c r="CZ34" i="1"/>
  <c r="CW34" i="1"/>
  <c r="CV34" i="1"/>
  <c r="CX34" i="1"/>
  <c r="CU180" i="1"/>
  <c r="CY180" i="1"/>
  <c r="CV180" i="1"/>
  <c r="CX180" i="1"/>
  <c r="CW180" i="1"/>
  <c r="CZ180" i="1"/>
  <c r="CW150" i="1"/>
  <c r="CX150" i="1"/>
  <c r="CY150" i="1"/>
  <c r="CU150" i="1"/>
  <c r="CZ150" i="1"/>
  <c r="CV150" i="1"/>
  <c r="CW155" i="1"/>
  <c r="CX155" i="1"/>
  <c r="CU155" i="1"/>
  <c r="CY155" i="1"/>
  <c r="CV155" i="1"/>
  <c r="CZ155" i="1"/>
  <c r="CU176" i="1"/>
  <c r="CY176" i="1"/>
  <c r="CV176" i="1"/>
  <c r="CZ176" i="1"/>
  <c r="CW176" i="1"/>
  <c r="CX176" i="1"/>
  <c r="CU48" i="1"/>
  <c r="CY48" i="1"/>
  <c r="CV48" i="1"/>
  <c r="CZ48" i="1"/>
  <c r="CW48" i="1"/>
  <c r="CX48" i="1"/>
  <c r="CU250" i="1"/>
  <c r="CY250" i="1"/>
  <c r="CW250" i="1"/>
  <c r="CZ250" i="1"/>
  <c r="CX250" i="1"/>
  <c r="CV250" i="1"/>
  <c r="CU201" i="1"/>
  <c r="CY201" i="1"/>
  <c r="CZ201" i="1"/>
  <c r="CW201" i="1"/>
  <c r="CV201" i="1"/>
  <c r="CX201" i="1"/>
  <c r="CW189" i="1"/>
  <c r="CU189" i="1"/>
  <c r="CZ189" i="1"/>
  <c r="CX189" i="1"/>
  <c r="CV189" i="1"/>
  <c r="CY189" i="1"/>
  <c r="CS171" i="1"/>
  <c r="CW171" i="1"/>
  <c r="CX171" i="1"/>
  <c r="CU171" i="1"/>
  <c r="CY171" i="1"/>
  <c r="CV171" i="1"/>
  <c r="CZ171" i="1"/>
  <c r="CW103" i="1"/>
  <c r="CX103" i="1"/>
  <c r="CY103" i="1"/>
  <c r="CU103" i="1"/>
  <c r="CZ103" i="1"/>
  <c r="CV103" i="1"/>
  <c r="CW205" i="1"/>
  <c r="CU205" i="1"/>
  <c r="CZ205" i="1"/>
  <c r="CV205" i="1"/>
  <c r="CX205" i="1"/>
  <c r="CY205" i="1"/>
  <c r="DA181" i="1"/>
  <c r="CW181" i="1"/>
  <c r="CU181" i="1"/>
  <c r="CZ181" i="1"/>
  <c r="CX181" i="1"/>
  <c r="CV181" i="1"/>
  <c r="CY181" i="1"/>
  <c r="CW159" i="1"/>
  <c r="CX159" i="1"/>
  <c r="CU159" i="1"/>
  <c r="CY159" i="1"/>
  <c r="CV159" i="1"/>
  <c r="CZ159" i="1"/>
  <c r="DB39" i="1"/>
  <c r="CW39" i="1"/>
  <c r="CX39" i="1"/>
  <c r="CU39" i="1"/>
  <c r="CV39" i="1"/>
  <c r="CY39" i="1"/>
  <c r="CZ39" i="1"/>
  <c r="CW266" i="1"/>
  <c r="CV266" i="1"/>
  <c r="CX266" i="1"/>
  <c r="CY266" i="1"/>
  <c r="CU266" i="1"/>
  <c r="CZ266" i="1"/>
  <c r="CW154" i="1"/>
  <c r="CV154" i="1"/>
  <c r="CY154" i="1"/>
  <c r="CX154" i="1"/>
  <c r="CZ154" i="1"/>
  <c r="CU154" i="1"/>
  <c r="CU108" i="1"/>
  <c r="CY108" i="1"/>
  <c r="CZ108" i="1"/>
  <c r="CV108" i="1"/>
  <c r="CW108" i="1"/>
  <c r="CX108" i="1"/>
  <c r="CW165" i="1"/>
  <c r="CX165" i="1"/>
  <c r="CY165" i="1"/>
  <c r="CU165" i="1"/>
  <c r="CZ165" i="1"/>
  <c r="CV165" i="1"/>
  <c r="CW207" i="1"/>
  <c r="CY207" i="1"/>
  <c r="CU207" i="1"/>
  <c r="CZ207" i="1"/>
  <c r="CV207" i="1"/>
  <c r="CX207" i="1"/>
  <c r="CW237" i="1"/>
  <c r="CU237" i="1"/>
  <c r="CZ237" i="1"/>
  <c r="CV237" i="1"/>
  <c r="CX237" i="1"/>
  <c r="CY237" i="1"/>
  <c r="CW239" i="1"/>
  <c r="CY239" i="1"/>
  <c r="CU239" i="1"/>
  <c r="CZ239" i="1"/>
  <c r="CV239" i="1"/>
  <c r="CX239" i="1"/>
  <c r="CU151" i="1"/>
  <c r="CY151" i="1"/>
  <c r="CV151" i="1"/>
  <c r="CZ151" i="1"/>
  <c r="CW151" i="1"/>
  <c r="CX151" i="1"/>
  <c r="CU228" i="1"/>
  <c r="CY228" i="1"/>
  <c r="CV228" i="1"/>
  <c r="CW228" i="1"/>
  <c r="CX228" i="1"/>
  <c r="CZ228" i="1"/>
  <c r="CW15" i="1"/>
  <c r="CX15" i="1"/>
  <c r="CU15" i="1"/>
  <c r="CY15" i="1"/>
  <c r="CZ15" i="1"/>
  <c r="CV15" i="1"/>
  <c r="CU50" i="1"/>
  <c r="CY50" i="1"/>
  <c r="CV50" i="1"/>
  <c r="CZ50" i="1"/>
  <c r="CW50" i="1"/>
  <c r="CX50" i="1"/>
  <c r="CY100" i="1"/>
  <c r="CZ100" i="1"/>
  <c r="CW235" i="1"/>
  <c r="CV235" i="1"/>
  <c r="CX235" i="1"/>
  <c r="CY235" i="1"/>
  <c r="CU235" i="1"/>
  <c r="CZ235" i="1"/>
  <c r="CU236" i="1"/>
  <c r="CY236" i="1"/>
  <c r="CV236" i="1"/>
  <c r="CX236" i="1"/>
  <c r="CW236" i="1"/>
  <c r="CZ236" i="1"/>
  <c r="CW75" i="1"/>
  <c r="CU75" i="1"/>
  <c r="CZ75" i="1"/>
  <c r="CV75" i="1"/>
  <c r="CX75" i="1"/>
  <c r="CY75" i="1"/>
  <c r="CW247" i="1"/>
  <c r="CY247" i="1"/>
  <c r="CV247" i="1"/>
  <c r="CU247" i="1"/>
  <c r="CZ247" i="1"/>
  <c r="CX247" i="1"/>
  <c r="CW95" i="1"/>
  <c r="CX95" i="1"/>
  <c r="CY95" i="1"/>
  <c r="CZ95" i="1"/>
  <c r="CU95" i="1"/>
  <c r="CV95" i="1"/>
  <c r="CW152" i="1"/>
  <c r="CU152" i="1"/>
  <c r="CZ152" i="1"/>
  <c r="CV152" i="1"/>
  <c r="CX152" i="1"/>
  <c r="CY152" i="1"/>
  <c r="CU72" i="1"/>
  <c r="CY72" i="1"/>
  <c r="CW72" i="1"/>
  <c r="CX72" i="1"/>
  <c r="CZ72" i="1"/>
  <c r="CV72" i="1"/>
  <c r="CW141" i="1"/>
  <c r="CY141" i="1"/>
  <c r="CU141" i="1"/>
  <c r="CZ141" i="1"/>
  <c r="CV141" i="1"/>
  <c r="CX141" i="1"/>
  <c r="CU142" i="1"/>
  <c r="CY142" i="1"/>
  <c r="CX142" i="1"/>
  <c r="CZ142" i="1"/>
  <c r="CV142" i="1"/>
  <c r="CW142" i="1"/>
  <c r="CU232" i="1"/>
  <c r="CY232" i="1"/>
  <c r="CX232" i="1"/>
  <c r="CZ232" i="1"/>
  <c r="CV232" i="1"/>
  <c r="CW232" i="1"/>
  <c r="CU132" i="1"/>
  <c r="CY132" i="1"/>
  <c r="CZ132" i="1"/>
  <c r="CV132" i="1"/>
  <c r="CW132" i="1"/>
  <c r="CX132" i="1"/>
  <c r="CU96" i="1"/>
  <c r="CY96" i="1"/>
  <c r="CW96" i="1"/>
  <c r="CX96" i="1"/>
  <c r="CZ96" i="1"/>
  <c r="CV96" i="1"/>
  <c r="CU270" i="1"/>
  <c r="CY270" i="1"/>
  <c r="CX270" i="1"/>
  <c r="CV270" i="1"/>
  <c r="CZ270" i="1"/>
  <c r="CW270" i="1"/>
  <c r="CW109" i="1"/>
  <c r="CY109" i="1"/>
  <c r="CU109" i="1"/>
  <c r="CZ109" i="1"/>
  <c r="CV109" i="1"/>
  <c r="CX109" i="1"/>
  <c r="CW221" i="1"/>
  <c r="CU221" i="1"/>
  <c r="CZ221" i="1"/>
  <c r="CX221" i="1"/>
  <c r="CV221" i="1"/>
  <c r="CY221" i="1"/>
  <c r="CW66" i="1"/>
  <c r="CX66" i="1"/>
  <c r="CY66" i="1"/>
  <c r="CU66" i="1"/>
  <c r="CZ66" i="1"/>
  <c r="CV66" i="1"/>
  <c r="CW133" i="1"/>
  <c r="CY133" i="1"/>
  <c r="CU133" i="1"/>
  <c r="CZ133" i="1"/>
  <c r="CV133" i="1"/>
  <c r="CX133" i="1"/>
  <c r="CW41" i="1"/>
  <c r="CX41" i="1"/>
  <c r="CY41" i="1"/>
  <c r="CU41" i="1"/>
  <c r="CV41" i="1"/>
  <c r="CZ41" i="1"/>
  <c r="CW131" i="1"/>
  <c r="CU131" i="1"/>
  <c r="CZ131" i="1"/>
  <c r="CV131" i="1"/>
  <c r="CX131" i="1"/>
  <c r="CY131" i="1"/>
  <c r="CU10" i="1"/>
  <c r="CY10" i="1"/>
  <c r="CV10" i="1"/>
  <c r="CZ10" i="1"/>
  <c r="CW10" i="1"/>
  <c r="CX10" i="1"/>
  <c r="CW117" i="1"/>
  <c r="CY117" i="1"/>
  <c r="CU117" i="1"/>
  <c r="CZ117" i="1"/>
  <c r="CV117" i="1"/>
  <c r="CX117" i="1"/>
  <c r="CW37" i="1"/>
  <c r="CX37" i="1"/>
  <c r="CY37" i="1"/>
  <c r="CU37" i="1"/>
  <c r="CV37" i="1"/>
  <c r="CZ37" i="1"/>
  <c r="CW231" i="1"/>
  <c r="CY231" i="1"/>
  <c r="CV231" i="1"/>
  <c r="CU231" i="1"/>
  <c r="CZ231" i="1"/>
  <c r="CX231" i="1"/>
  <c r="CW53" i="1"/>
  <c r="CX53" i="1"/>
  <c r="CY53" i="1"/>
  <c r="CU53" i="1"/>
  <c r="CV53" i="1"/>
  <c r="CZ53" i="1"/>
  <c r="CW261" i="1"/>
  <c r="CU261" i="1"/>
  <c r="CZ261" i="1"/>
  <c r="CX261" i="1"/>
  <c r="CV261" i="1"/>
  <c r="CY261" i="1"/>
  <c r="CW67" i="1"/>
  <c r="CU67" i="1"/>
  <c r="CZ67" i="1"/>
  <c r="CV67" i="1"/>
  <c r="CX67" i="1"/>
  <c r="CY67" i="1"/>
  <c r="CW143" i="1"/>
  <c r="CX143" i="1"/>
  <c r="CY143" i="1"/>
  <c r="CZ143" i="1"/>
  <c r="CU143" i="1"/>
  <c r="CV143" i="1"/>
  <c r="CU198" i="1"/>
  <c r="CY198" i="1"/>
  <c r="CZ198" i="1"/>
  <c r="CV198" i="1"/>
  <c r="CW198" i="1"/>
  <c r="CX198" i="1"/>
  <c r="CU6" i="1"/>
  <c r="CY6" i="1"/>
  <c r="CW6" i="1"/>
  <c r="CX6" i="1"/>
  <c r="CZ6" i="1"/>
  <c r="CV6" i="1"/>
  <c r="CU70" i="1"/>
  <c r="CY70" i="1"/>
  <c r="CX70" i="1"/>
  <c r="CZ70" i="1"/>
  <c r="CV70" i="1"/>
  <c r="CW70" i="1"/>
  <c r="CU28" i="1"/>
  <c r="CY28" i="1"/>
  <c r="CV28" i="1"/>
  <c r="CZ28" i="1"/>
  <c r="CW28" i="1"/>
  <c r="CX28" i="1"/>
  <c r="CU106" i="1"/>
  <c r="CY106" i="1"/>
  <c r="CV106" i="1"/>
  <c r="CW106" i="1"/>
  <c r="CX106" i="1"/>
  <c r="CZ106" i="1"/>
  <c r="CU268" i="1"/>
  <c r="CY268" i="1"/>
  <c r="CZ268" i="1"/>
  <c r="CW268" i="1"/>
  <c r="CV268" i="1"/>
  <c r="CX268" i="1"/>
  <c r="CU210" i="1"/>
  <c r="CY210" i="1"/>
  <c r="CW210" i="1"/>
  <c r="CZ210" i="1"/>
  <c r="CX210" i="1"/>
  <c r="CV210" i="1"/>
  <c r="CU164" i="1"/>
  <c r="CY164" i="1"/>
  <c r="CV164" i="1"/>
  <c r="CZ164" i="1"/>
  <c r="CW164" i="1"/>
  <c r="CX164" i="1"/>
  <c r="CW254" i="1"/>
  <c r="CX254" i="1"/>
  <c r="CU254" i="1"/>
  <c r="CY254" i="1"/>
  <c r="CZ254" i="1"/>
  <c r="CV254" i="1"/>
  <c r="CU182" i="1"/>
  <c r="CY182" i="1"/>
  <c r="CZ182" i="1"/>
  <c r="CW182" i="1"/>
  <c r="CV182" i="1"/>
  <c r="CX182" i="1"/>
  <c r="CU134" i="1"/>
  <c r="CY134" i="1"/>
  <c r="CX134" i="1"/>
  <c r="CZ134" i="1"/>
  <c r="CV134" i="1"/>
  <c r="CW134" i="1"/>
  <c r="CU196" i="1"/>
  <c r="CY196" i="1"/>
  <c r="CV196" i="1"/>
  <c r="CX196" i="1"/>
  <c r="CW196" i="1"/>
  <c r="CZ196" i="1"/>
  <c r="DA160" i="1"/>
  <c r="CU160" i="1"/>
  <c r="CY160" i="1"/>
  <c r="CV160" i="1"/>
  <c r="CZ160" i="1"/>
  <c r="CW160" i="1"/>
  <c r="CX160" i="1"/>
  <c r="CU128" i="1"/>
  <c r="CY128" i="1"/>
  <c r="CW128" i="1"/>
  <c r="CX128" i="1"/>
  <c r="CZ128" i="1"/>
  <c r="CV128" i="1"/>
  <c r="CS74" i="1"/>
  <c r="CU74" i="1"/>
  <c r="CY74" i="1"/>
  <c r="CV74" i="1"/>
  <c r="CW74" i="1"/>
  <c r="CX74" i="1"/>
  <c r="CZ74" i="1"/>
  <c r="CU24" i="1"/>
  <c r="CY24" i="1"/>
  <c r="CV24" i="1"/>
  <c r="CZ24" i="1"/>
  <c r="CW24" i="1"/>
  <c r="CX24" i="1"/>
  <c r="CW157" i="1"/>
  <c r="CX157" i="1"/>
  <c r="CY157" i="1"/>
  <c r="CU157" i="1"/>
  <c r="CZ157" i="1"/>
  <c r="CV157" i="1"/>
  <c r="CW73" i="1"/>
  <c r="CV73" i="1"/>
  <c r="CX73" i="1"/>
  <c r="CY73" i="1"/>
  <c r="CU73" i="1"/>
  <c r="CZ73" i="1"/>
  <c r="CU68" i="1"/>
  <c r="CY68" i="1"/>
  <c r="CZ68" i="1"/>
  <c r="CV68" i="1"/>
  <c r="CW68" i="1"/>
  <c r="CX68" i="1"/>
  <c r="CU86" i="1"/>
  <c r="CY86" i="1"/>
  <c r="CX86" i="1"/>
  <c r="CZ86" i="1"/>
  <c r="CV86" i="1"/>
  <c r="CW86" i="1"/>
  <c r="CW85" i="1"/>
  <c r="CY85" i="1"/>
  <c r="CU85" i="1"/>
  <c r="CZ85" i="1"/>
  <c r="CV85" i="1"/>
  <c r="CX85" i="1"/>
  <c r="CW57" i="1"/>
  <c r="CX57" i="1"/>
  <c r="CY57" i="1"/>
  <c r="CU57" i="1"/>
  <c r="CV57" i="1"/>
  <c r="CZ57" i="1"/>
  <c r="CY185" i="1"/>
  <c r="CZ185" i="1"/>
  <c r="CU92" i="1"/>
  <c r="CY92" i="1"/>
  <c r="CZ92" i="1"/>
  <c r="CV92" i="1"/>
  <c r="CW92" i="1"/>
  <c r="CX92" i="1"/>
  <c r="CU188" i="1"/>
  <c r="CY188" i="1"/>
  <c r="CV188" i="1"/>
  <c r="CX188" i="1"/>
  <c r="CW188" i="1"/>
  <c r="CZ188" i="1"/>
  <c r="CW229" i="1"/>
  <c r="CU229" i="1"/>
  <c r="CZ229" i="1"/>
  <c r="CX229" i="1"/>
  <c r="CV229" i="1"/>
  <c r="CY229" i="1"/>
  <c r="CW87" i="1"/>
  <c r="CX87" i="1"/>
  <c r="CY87" i="1"/>
  <c r="CU87" i="1"/>
  <c r="CZ87" i="1"/>
  <c r="CV87" i="1"/>
  <c r="CU90" i="1"/>
  <c r="CY90" i="1"/>
  <c r="CV90" i="1"/>
  <c r="CW90" i="1"/>
  <c r="CX90" i="1"/>
  <c r="CZ90" i="1"/>
  <c r="CW45" i="1"/>
  <c r="CX45" i="1"/>
  <c r="CY45" i="1"/>
  <c r="CZ45" i="1"/>
  <c r="CU45" i="1"/>
  <c r="CV45" i="1"/>
  <c r="CU98" i="1"/>
  <c r="CY98" i="1"/>
  <c r="CV98" i="1"/>
  <c r="CW98" i="1"/>
  <c r="CX98" i="1"/>
  <c r="CZ98" i="1"/>
  <c r="CU214" i="1"/>
  <c r="CY214" i="1"/>
  <c r="CZ214" i="1"/>
  <c r="CW214" i="1"/>
  <c r="CV214" i="1"/>
  <c r="CX214" i="1"/>
  <c r="CW23" i="1"/>
  <c r="CX23" i="1"/>
  <c r="CU23" i="1"/>
  <c r="CV23" i="1"/>
  <c r="CY23" i="1"/>
  <c r="CZ23" i="1"/>
  <c r="CU220" i="1"/>
  <c r="CY220" i="1"/>
  <c r="CV220" i="1"/>
  <c r="CW220" i="1"/>
  <c r="CX220" i="1"/>
  <c r="CZ220" i="1"/>
  <c r="CU265" i="1"/>
  <c r="CY265" i="1"/>
  <c r="CW265" i="1"/>
  <c r="CZ265" i="1"/>
  <c r="CX265" i="1"/>
  <c r="CV265" i="1"/>
  <c r="CU84" i="1"/>
  <c r="CY84" i="1"/>
  <c r="CZ84" i="1"/>
  <c r="CV84" i="1"/>
  <c r="CW84" i="1"/>
  <c r="CX84" i="1"/>
  <c r="CW25" i="1"/>
  <c r="CX25" i="1"/>
  <c r="CY25" i="1"/>
  <c r="CU25" i="1"/>
  <c r="CV25" i="1"/>
  <c r="CZ25" i="1"/>
  <c r="CU54" i="1"/>
  <c r="CY54" i="1"/>
  <c r="CV54" i="1"/>
  <c r="CZ54" i="1"/>
  <c r="CX54" i="1"/>
  <c r="CW54" i="1"/>
  <c r="CU230" i="1"/>
  <c r="CY230" i="1"/>
  <c r="CZ230" i="1"/>
  <c r="CV230" i="1"/>
  <c r="CW230" i="1"/>
  <c r="CX230" i="1"/>
  <c r="CU248" i="1"/>
  <c r="CY248" i="1"/>
  <c r="CX248" i="1"/>
  <c r="CZ248" i="1"/>
  <c r="CV248" i="1"/>
  <c r="CW248" i="1"/>
  <c r="CR138" i="1"/>
  <c r="CU138" i="1"/>
  <c r="CY138" i="1"/>
  <c r="CV138" i="1"/>
  <c r="CW138" i="1"/>
  <c r="CX138" i="1"/>
  <c r="CZ138" i="1"/>
  <c r="CU267" i="1"/>
  <c r="CY267" i="1"/>
  <c r="CV267" i="1"/>
  <c r="CX267" i="1"/>
  <c r="CW267" i="1"/>
  <c r="CZ267" i="1"/>
  <c r="CW125" i="1"/>
  <c r="CY125" i="1"/>
  <c r="CU125" i="1"/>
  <c r="CZ125" i="1"/>
  <c r="CV125" i="1"/>
  <c r="CX125" i="1"/>
  <c r="CU178" i="1"/>
  <c r="CY178" i="1"/>
  <c r="CW178" i="1"/>
  <c r="CZ178" i="1"/>
  <c r="CX178" i="1"/>
  <c r="CV178" i="1"/>
  <c r="CU102" i="1"/>
  <c r="CY102" i="1"/>
  <c r="CX102" i="1"/>
  <c r="CZ102" i="1"/>
  <c r="CV102" i="1"/>
  <c r="CW102" i="1"/>
  <c r="CW179" i="1"/>
  <c r="CU179" i="1"/>
  <c r="CZ179" i="1"/>
  <c r="CV179" i="1"/>
  <c r="CX179" i="1"/>
  <c r="CY179" i="1"/>
  <c r="CU212" i="1"/>
  <c r="CY212" i="1"/>
  <c r="CV212" i="1"/>
  <c r="CX212" i="1"/>
  <c r="CW212" i="1"/>
  <c r="CZ212" i="1"/>
  <c r="CU148" i="1"/>
  <c r="CY148" i="1"/>
  <c r="CZ148" i="1"/>
  <c r="CV148" i="1"/>
  <c r="CW148" i="1"/>
  <c r="CX148" i="1"/>
  <c r="CW187" i="1"/>
  <c r="CV187" i="1"/>
  <c r="CY187" i="1"/>
  <c r="CX187" i="1"/>
  <c r="CU187" i="1"/>
  <c r="CZ187" i="1"/>
  <c r="CU116" i="1"/>
  <c r="CY116" i="1"/>
  <c r="CZ116" i="1"/>
  <c r="CV116" i="1"/>
  <c r="CW116" i="1"/>
  <c r="CX116" i="1"/>
  <c r="CW105" i="1"/>
  <c r="CV105" i="1"/>
  <c r="CX105" i="1"/>
  <c r="CY105" i="1"/>
  <c r="CU105" i="1"/>
  <c r="CZ105" i="1"/>
  <c r="CW17" i="1"/>
  <c r="CX17" i="1"/>
  <c r="CY17" i="1"/>
  <c r="CV17" i="1"/>
  <c r="CZ17" i="1"/>
  <c r="CU17" i="1"/>
  <c r="CW59" i="1"/>
  <c r="CX59" i="1"/>
  <c r="CU59" i="1"/>
  <c r="CZ59" i="1"/>
  <c r="CV59" i="1"/>
  <c r="CY59" i="1"/>
  <c r="CW35" i="1"/>
  <c r="CX35" i="1"/>
  <c r="CU35" i="1"/>
  <c r="CV35" i="1"/>
  <c r="CY35" i="1"/>
  <c r="CZ35" i="1"/>
  <c r="CW119" i="1"/>
  <c r="CX119" i="1"/>
  <c r="CU119" i="1"/>
  <c r="CY119" i="1"/>
  <c r="CV119" i="1"/>
  <c r="CZ119" i="1"/>
  <c r="CW175" i="1"/>
  <c r="CX175" i="1"/>
  <c r="CU175" i="1"/>
  <c r="CY175" i="1"/>
  <c r="CV175" i="1"/>
  <c r="CZ175" i="1"/>
  <c r="CU36" i="1"/>
  <c r="CY36" i="1"/>
  <c r="CV36" i="1"/>
  <c r="CZ36" i="1"/>
  <c r="CW36" i="1"/>
  <c r="CX36" i="1"/>
  <c r="CU242" i="1"/>
  <c r="CY242" i="1"/>
  <c r="CW242" i="1"/>
  <c r="CX242" i="1"/>
  <c r="CZ242" i="1"/>
  <c r="CV242" i="1"/>
  <c r="CW211" i="1"/>
  <c r="CV211" i="1"/>
  <c r="CX211" i="1"/>
  <c r="CY211" i="1"/>
  <c r="CZ211" i="1"/>
  <c r="CU211" i="1"/>
  <c r="CU89" i="1"/>
  <c r="CY89" i="1"/>
  <c r="CV89" i="1"/>
  <c r="CZ89" i="1"/>
  <c r="CW89" i="1"/>
  <c r="CX89" i="1"/>
  <c r="CU226" i="1"/>
  <c r="CY226" i="1"/>
  <c r="CW226" i="1"/>
  <c r="CX226" i="1"/>
  <c r="CZ226" i="1"/>
  <c r="CV226" i="1"/>
  <c r="CU202" i="1"/>
  <c r="CY202" i="1"/>
  <c r="CW202" i="1"/>
  <c r="CZ202" i="1"/>
  <c r="CX202" i="1"/>
  <c r="CV202" i="1"/>
  <c r="CU140" i="1"/>
  <c r="CY140" i="1"/>
  <c r="CZ140" i="1"/>
  <c r="CV140" i="1"/>
  <c r="CW140" i="1"/>
  <c r="CX140" i="1"/>
  <c r="CU40" i="1"/>
  <c r="CY40" i="1"/>
  <c r="CV40" i="1"/>
  <c r="CZ40" i="1"/>
  <c r="CW40" i="1"/>
  <c r="CX40" i="1"/>
  <c r="CW191" i="1"/>
  <c r="CY191" i="1"/>
  <c r="CV191" i="1"/>
  <c r="CU191" i="1"/>
  <c r="CZ191" i="1"/>
  <c r="CX191" i="1"/>
  <c r="CU168" i="1"/>
  <c r="CY168" i="1"/>
  <c r="CV168" i="1"/>
  <c r="CZ168" i="1"/>
  <c r="CW168" i="1"/>
  <c r="CX168" i="1"/>
  <c r="CW223" i="1"/>
  <c r="CY223" i="1"/>
  <c r="CV223" i="1"/>
  <c r="CU223" i="1"/>
  <c r="CZ223" i="1"/>
  <c r="CX223" i="1"/>
  <c r="CW215" i="1"/>
  <c r="CY215" i="1"/>
  <c r="CU215" i="1"/>
  <c r="CZ215" i="1"/>
  <c r="CV215" i="1"/>
  <c r="CX215" i="1"/>
  <c r="CU136" i="1"/>
  <c r="CY136" i="1"/>
  <c r="CW136" i="1"/>
  <c r="CX136" i="1"/>
  <c r="CZ136" i="1"/>
  <c r="CV136" i="1"/>
  <c r="CU222" i="1"/>
  <c r="CY222" i="1"/>
  <c r="CZ222" i="1"/>
  <c r="CV222" i="1"/>
  <c r="CW222" i="1"/>
  <c r="CX222" i="1"/>
  <c r="CU104" i="1"/>
  <c r="CY104" i="1"/>
  <c r="CW104" i="1"/>
  <c r="CX104" i="1"/>
  <c r="CZ104" i="1"/>
  <c r="CV104" i="1"/>
  <c r="CW163" i="1"/>
  <c r="CX163" i="1"/>
  <c r="CU163" i="1"/>
  <c r="CY163" i="1"/>
  <c r="CV163" i="1"/>
  <c r="CZ163" i="1"/>
  <c r="CW43" i="1"/>
  <c r="CX43" i="1"/>
  <c r="CU43" i="1"/>
  <c r="CZ43" i="1"/>
  <c r="CV43" i="1"/>
  <c r="CY43" i="1"/>
  <c r="CW107" i="1"/>
  <c r="CU107" i="1"/>
  <c r="CZ107" i="1"/>
  <c r="CV107" i="1"/>
  <c r="CX107" i="1"/>
  <c r="CY107" i="1"/>
  <c r="CW167" i="1"/>
  <c r="CX167" i="1"/>
  <c r="CU167" i="1"/>
  <c r="CY167" i="1"/>
  <c r="CV167" i="1"/>
  <c r="CZ167" i="1"/>
  <c r="CU258" i="1"/>
  <c r="CY258" i="1"/>
  <c r="CW258" i="1"/>
  <c r="CX258" i="1"/>
  <c r="CZ258" i="1"/>
  <c r="CV258" i="1"/>
  <c r="CW81" i="1"/>
  <c r="CV81" i="1"/>
  <c r="CX81" i="1"/>
  <c r="CY81" i="1"/>
  <c r="CZ81" i="1"/>
  <c r="CU81" i="1"/>
  <c r="CW162" i="1"/>
  <c r="CV162" i="1"/>
  <c r="CX162" i="1"/>
  <c r="CY162" i="1"/>
  <c r="CU162" i="1"/>
  <c r="CZ162" i="1"/>
  <c r="CW49" i="1"/>
  <c r="CX49" i="1"/>
  <c r="CY49" i="1"/>
  <c r="CV49" i="1"/>
  <c r="CZ49" i="1"/>
  <c r="CU49" i="1"/>
  <c r="CU114" i="1"/>
  <c r="CY114" i="1"/>
  <c r="CV114" i="1"/>
  <c r="CW114" i="1"/>
  <c r="CX114" i="1"/>
  <c r="CZ114" i="1"/>
  <c r="CU122" i="1"/>
  <c r="CY122" i="1"/>
  <c r="CV122" i="1"/>
  <c r="CW122" i="1"/>
  <c r="CX122" i="1"/>
  <c r="CZ122" i="1"/>
  <c r="CU44" i="1"/>
  <c r="CY44" i="1"/>
  <c r="CV44" i="1"/>
  <c r="CZ44" i="1"/>
  <c r="CW44" i="1"/>
  <c r="CX44" i="1"/>
  <c r="CW147" i="1"/>
  <c r="CU147" i="1"/>
  <c r="CZ147" i="1"/>
  <c r="CV147" i="1"/>
  <c r="CX147" i="1"/>
  <c r="CY147" i="1"/>
  <c r="CU252" i="1"/>
  <c r="CY252" i="1"/>
  <c r="CV252" i="1"/>
  <c r="CX252" i="1"/>
  <c r="CW252" i="1"/>
  <c r="CZ252" i="1"/>
  <c r="CW243" i="1"/>
  <c r="CV243" i="1"/>
  <c r="CY243" i="1"/>
  <c r="CX243" i="1"/>
  <c r="CZ243" i="1"/>
  <c r="CU243" i="1"/>
  <c r="CU124" i="1"/>
  <c r="CY124" i="1"/>
  <c r="CZ124" i="1"/>
  <c r="CV124" i="1"/>
  <c r="CW124" i="1"/>
  <c r="CX124" i="1"/>
  <c r="CU120" i="1"/>
  <c r="CY120" i="1"/>
  <c r="CV120" i="1"/>
  <c r="CW120" i="1"/>
  <c r="CX120" i="1"/>
  <c r="CZ120" i="1"/>
  <c r="CU184" i="1"/>
  <c r="CY184" i="1"/>
  <c r="CX184" i="1"/>
  <c r="CV184" i="1"/>
  <c r="CZ184" i="1"/>
  <c r="CW184" i="1"/>
  <c r="CU69" i="1"/>
  <c r="CY69" i="1"/>
  <c r="CW69" i="1"/>
  <c r="CX69" i="1"/>
  <c r="CZ69" i="1"/>
  <c r="CV69" i="1"/>
  <c r="CW145" i="1"/>
  <c r="CV145" i="1"/>
  <c r="CX145" i="1"/>
  <c r="CY145" i="1"/>
  <c r="CZ145" i="1"/>
  <c r="CU145" i="1"/>
  <c r="CW77" i="1"/>
  <c r="CY77" i="1"/>
  <c r="CU77" i="1"/>
  <c r="CZ77" i="1"/>
  <c r="CV77" i="1"/>
  <c r="CX77" i="1"/>
  <c r="CU204" i="1"/>
  <c r="CY204" i="1"/>
  <c r="CV204" i="1"/>
  <c r="CX204" i="1"/>
  <c r="CW204" i="1"/>
  <c r="CZ204" i="1"/>
  <c r="CW18" i="1"/>
  <c r="CX18" i="1"/>
  <c r="CU18" i="1"/>
  <c r="CZ18" i="1"/>
  <c r="CY18" i="1"/>
  <c r="CV18" i="1"/>
  <c r="CU186" i="1"/>
  <c r="CY186" i="1"/>
  <c r="CW186" i="1"/>
  <c r="CZ186" i="1"/>
  <c r="CX186" i="1"/>
  <c r="CV186" i="1"/>
  <c r="CU16" i="1"/>
  <c r="CY16" i="1"/>
  <c r="CV16" i="1"/>
  <c r="CZ16" i="1"/>
  <c r="CW16" i="1"/>
  <c r="CX16" i="1"/>
  <c r="CW93" i="1"/>
  <c r="CY93" i="1"/>
  <c r="CU93" i="1"/>
  <c r="CZ93" i="1"/>
  <c r="CV93" i="1"/>
  <c r="CX93" i="1"/>
  <c r="CW79" i="1"/>
  <c r="CX79" i="1"/>
  <c r="CY79" i="1"/>
  <c r="CZ79" i="1"/>
  <c r="CU79" i="1"/>
  <c r="CV79" i="1"/>
  <c r="CU38" i="1"/>
  <c r="CY38" i="1"/>
  <c r="CV38" i="1"/>
  <c r="CZ38" i="1"/>
  <c r="CX38" i="1"/>
  <c r="CW38" i="1"/>
  <c r="CU192" i="1"/>
  <c r="CY192" i="1"/>
  <c r="CX192" i="1"/>
  <c r="CV192" i="1"/>
  <c r="CZ192" i="1"/>
  <c r="CW192" i="1"/>
  <c r="CW219" i="1"/>
  <c r="CV219" i="1"/>
  <c r="CY219" i="1"/>
  <c r="CX219" i="1"/>
  <c r="CU219" i="1"/>
  <c r="CZ219" i="1"/>
  <c r="CW88" i="1"/>
  <c r="CV88" i="1"/>
  <c r="CX88" i="1"/>
  <c r="CY88" i="1"/>
  <c r="CZ88" i="1"/>
  <c r="CU88" i="1"/>
  <c r="CW253" i="1"/>
  <c r="CU253" i="1"/>
  <c r="CZ253" i="1"/>
  <c r="CV253" i="1"/>
  <c r="CX253" i="1"/>
  <c r="CY253" i="1"/>
  <c r="CS241" i="1"/>
  <c r="CU82" i="1"/>
  <c r="CY82" i="1"/>
  <c r="CV82" i="1"/>
  <c r="CW82" i="1"/>
  <c r="CX82" i="1"/>
  <c r="CZ82" i="1"/>
  <c r="CW83" i="1"/>
  <c r="CU83" i="1"/>
  <c r="CZ83" i="1"/>
  <c r="CV83" i="1"/>
  <c r="CX83" i="1"/>
  <c r="CY83" i="1"/>
  <c r="CW227" i="1"/>
  <c r="CV227" i="1"/>
  <c r="CY227" i="1"/>
  <c r="CX227" i="1"/>
  <c r="CZ227" i="1"/>
  <c r="CU227" i="1"/>
  <c r="CW173" i="1"/>
  <c r="CX173" i="1"/>
  <c r="CY173" i="1"/>
  <c r="CU173" i="1"/>
  <c r="CZ173" i="1"/>
  <c r="CV173" i="1"/>
  <c r="CW169" i="1"/>
  <c r="CX169" i="1"/>
  <c r="CY169" i="1"/>
  <c r="CU169" i="1"/>
  <c r="CZ169" i="1"/>
  <c r="CV169" i="1"/>
  <c r="CW97" i="1"/>
  <c r="CV97" i="1"/>
  <c r="CX97" i="1"/>
  <c r="CY97" i="1"/>
  <c r="CZ97" i="1"/>
  <c r="CU97" i="1"/>
  <c r="CU194" i="1"/>
  <c r="CY194" i="1"/>
  <c r="CW194" i="1"/>
  <c r="CZ194" i="1"/>
  <c r="CX194" i="1"/>
  <c r="CV194" i="1"/>
  <c r="CU13" i="1"/>
  <c r="CY13" i="1"/>
  <c r="CX13" i="1"/>
  <c r="CZ13" i="1"/>
  <c r="CV13" i="1"/>
  <c r="CW13" i="1"/>
  <c r="CU262" i="1"/>
  <c r="CY262" i="1"/>
  <c r="CZ262" i="1"/>
  <c r="CV262" i="1"/>
  <c r="CW262" i="1"/>
  <c r="CX262" i="1"/>
  <c r="CU224" i="1"/>
  <c r="CY224" i="1"/>
  <c r="CX224" i="1"/>
  <c r="CZ224" i="1"/>
  <c r="CV224" i="1"/>
  <c r="CW224" i="1"/>
  <c r="CU80" i="1"/>
  <c r="CY80" i="1"/>
  <c r="CW80" i="1"/>
  <c r="CX80" i="1"/>
  <c r="CZ80" i="1"/>
  <c r="CV80" i="1"/>
  <c r="CW71" i="1"/>
  <c r="CX71" i="1"/>
  <c r="CY71" i="1"/>
  <c r="CU71" i="1"/>
  <c r="CZ71" i="1"/>
  <c r="CV71" i="1"/>
  <c r="CW203" i="1"/>
  <c r="CV203" i="1"/>
  <c r="CX203" i="1"/>
  <c r="CY203" i="1"/>
  <c r="CU203" i="1"/>
  <c r="CZ203" i="1"/>
  <c r="CW149" i="1"/>
  <c r="CY149" i="1"/>
  <c r="CU149" i="1"/>
  <c r="CZ149" i="1"/>
  <c r="CV149" i="1"/>
  <c r="CX149" i="1"/>
  <c r="CU172" i="1"/>
  <c r="CY172" i="1"/>
  <c r="CV172" i="1"/>
  <c r="CZ172" i="1"/>
  <c r="CW172" i="1"/>
  <c r="CX172" i="1"/>
  <c r="CW225" i="1"/>
  <c r="CX225" i="1"/>
  <c r="CU225" i="1"/>
  <c r="CZ225" i="1"/>
  <c r="CY225" i="1"/>
  <c r="CV225" i="1"/>
  <c r="CW137" i="1"/>
  <c r="CV137" i="1"/>
  <c r="CX137" i="1"/>
  <c r="CY137" i="1"/>
  <c r="CU137" i="1"/>
  <c r="CZ137" i="1"/>
  <c r="CW51" i="1"/>
  <c r="CX51" i="1"/>
  <c r="CU51" i="1"/>
  <c r="CV51" i="1"/>
  <c r="CY51" i="1"/>
  <c r="CZ51" i="1"/>
  <c r="CU174" i="1"/>
  <c r="CY174" i="1"/>
  <c r="CV174" i="1"/>
  <c r="CZ174" i="1"/>
  <c r="CW174" i="1"/>
  <c r="CX174" i="1"/>
  <c r="DA139" i="1"/>
  <c r="CW139" i="1"/>
  <c r="CU139" i="1"/>
  <c r="CZ139" i="1"/>
  <c r="CV139" i="1"/>
  <c r="CX139" i="1"/>
  <c r="CY139" i="1"/>
  <c r="CX65" i="1"/>
  <c r="CV65" i="1"/>
  <c r="CU65" i="1"/>
  <c r="CW65" i="1"/>
  <c r="CY65" i="1"/>
  <c r="CZ65" i="1"/>
  <c r="CW193" i="1"/>
  <c r="CX193" i="1"/>
  <c r="CZ193" i="1"/>
  <c r="CY193" i="1"/>
  <c r="CU193" i="1"/>
  <c r="CV193" i="1"/>
  <c r="CW251" i="1"/>
  <c r="CV251" i="1"/>
  <c r="CX251" i="1"/>
  <c r="CY251" i="1"/>
  <c r="CU251" i="1"/>
  <c r="CZ251" i="1"/>
  <c r="CZ7" i="1"/>
  <c r="CV7" i="1"/>
  <c r="CW7" i="1"/>
  <c r="CY7" i="1"/>
  <c r="CU7" i="1"/>
  <c r="CX7" i="1"/>
  <c r="CT193" i="1"/>
  <c r="DC266" i="1"/>
  <c r="DB266" i="1"/>
  <c r="CS51" i="1"/>
  <c r="DA193" i="1"/>
  <c r="DB65" i="1"/>
  <c r="CS251" i="1"/>
  <c r="CS174" i="1"/>
  <c r="CT65" i="1"/>
  <c r="CR139" i="1"/>
  <c r="CR193" i="1"/>
  <c r="CR51" i="1"/>
  <c r="DC139" i="1"/>
  <c r="DA24" i="1"/>
  <c r="DA51" i="1"/>
  <c r="DC174" i="1"/>
  <c r="CT174" i="1"/>
  <c r="CS65" i="1"/>
  <c r="CS139" i="1"/>
  <c r="CR251" i="1"/>
  <c r="CS193" i="1"/>
  <c r="CT51" i="1"/>
  <c r="CS24" i="1"/>
  <c r="DA65" i="1"/>
  <c r="DB251" i="1"/>
  <c r="CS160" i="1"/>
  <c r="CR74" i="1"/>
  <c r="CT157" i="1"/>
  <c r="DB157" i="1"/>
  <c r="CR241" i="1"/>
  <c r="DA241" i="1"/>
  <c r="CT241" i="1"/>
  <c r="DC241" i="1"/>
  <c r="DC51" i="1"/>
  <c r="DB139" i="1"/>
  <c r="DB174" i="1"/>
  <c r="DC193" i="1"/>
  <c r="DA251" i="1"/>
  <c r="DB51" i="1"/>
  <c r="DA174" i="1"/>
  <c r="DB193" i="1"/>
  <c r="DC65" i="1"/>
  <c r="DC251" i="1"/>
  <c r="CS159" i="1"/>
  <c r="CT103" i="1"/>
  <c r="DB181" i="1"/>
  <c r="CS181" i="1"/>
  <c r="DB205" i="1"/>
  <c r="DA103" i="1"/>
  <c r="CT39" i="1"/>
  <c r="CT128" i="1"/>
  <c r="CR181" i="1"/>
  <c r="CR24" i="1"/>
  <c r="CS157" i="1"/>
  <c r="CS205" i="1"/>
  <c r="DC24" i="1"/>
  <c r="DA128" i="1"/>
  <c r="DA157" i="1"/>
  <c r="DA39" i="1"/>
  <c r="CT159" i="1"/>
  <c r="CT24" i="1"/>
  <c r="CR157" i="1"/>
  <c r="CR103" i="1"/>
  <c r="CR205" i="1"/>
  <c r="DB24" i="1"/>
  <c r="DC157" i="1"/>
  <c r="DA74" i="1"/>
  <c r="CS33" i="1"/>
  <c r="DB33" i="1"/>
  <c r="CR33" i="1"/>
  <c r="CS39" i="1"/>
  <c r="CR159" i="1"/>
  <c r="CS62" i="1"/>
  <c r="DC39" i="1"/>
  <c r="DA62" i="1"/>
  <c r="DA33" i="1"/>
  <c r="CT33" i="1"/>
  <c r="CR39" i="1"/>
  <c r="CT181" i="1"/>
  <c r="CS103" i="1"/>
  <c r="CT205" i="1"/>
  <c r="DC181" i="1"/>
  <c r="DA159" i="1"/>
  <c r="DC33" i="1"/>
  <c r="DC103" i="1"/>
  <c r="CT138" i="1"/>
  <c r="DA138" i="1"/>
  <c r="DB47" i="1"/>
  <c r="CS47" i="1"/>
  <c r="DA9" i="1"/>
  <c r="CR47" i="1"/>
  <c r="CS138" i="1"/>
  <c r="CR62" i="1"/>
  <c r="DC138" i="1"/>
  <c r="DC62" i="1"/>
  <c r="DC47" i="1"/>
  <c r="CT62" i="1"/>
  <c r="DB138" i="1"/>
  <c r="DB62" i="1"/>
  <c r="DA47" i="1"/>
  <c r="DA205" i="1"/>
  <c r="DB9" i="1"/>
  <c r="DC159" i="1"/>
  <c r="CR9" i="1"/>
  <c r="CS9" i="1"/>
  <c r="CT47" i="1"/>
  <c r="DC205" i="1"/>
  <c r="DC9" i="1"/>
  <c r="DB159" i="1"/>
  <c r="DB103" i="1"/>
  <c r="CS128" i="1"/>
  <c r="CR160" i="1"/>
  <c r="CT196" i="1"/>
  <c r="CT74" i="1"/>
  <c r="DC128" i="1"/>
  <c r="DB160" i="1"/>
  <c r="DB196" i="1"/>
  <c r="DC74" i="1"/>
  <c r="CS196" i="1"/>
  <c r="DB128" i="1"/>
  <c r="DC160" i="1"/>
  <c r="DC196" i="1"/>
  <c r="DB74" i="1"/>
  <c r="CR128" i="1"/>
  <c r="CT160" i="1"/>
  <c r="CR196" i="1"/>
  <c r="DA196" i="1"/>
  <c r="CR171" i="1"/>
  <c r="CT137" i="1"/>
  <c r="CS134" i="1"/>
  <c r="CS13" i="1"/>
  <c r="CT80" i="1"/>
  <c r="CT149" i="1"/>
  <c r="CS172" i="1"/>
  <c r="CR137" i="1"/>
  <c r="CS137" i="1"/>
  <c r="DB269" i="1"/>
  <c r="DC269" i="1"/>
  <c r="DA269" i="1"/>
  <c r="DA19" i="1"/>
  <c r="DB19" i="1"/>
  <c r="DC19" i="1"/>
  <c r="DA73" i="1"/>
  <c r="DB73" i="1"/>
  <c r="DC73" i="1"/>
  <c r="DB108" i="1"/>
  <c r="DC108" i="1"/>
  <c r="DA108" i="1"/>
  <c r="DA91" i="1"/>
  <c r="DB91" i="1"/>
  <c r="DC91" i="1"/>
  <c r="DB110" i="1"/>
  <c r="DC110" i="1"/>
  <c r="DA110" i="1"/>
  <c r="DA135" i="1"/>
  <c r="DB135" i="1"/>
  <c r="DC135" i="1"/>
  <c r="DB255" i="1"/>
  <c r="DC255" i="1"/>
  <c r="DA255" i="1"/>
  <c r="DB44" i="1"/>
  <c r="DC44" i="1"/>
  <c r="DA44" i="1"/>
  <c r="DB124" i="1"/>
  <c r="DC124" i="1"/>
  <c r="DA124" i="1"/>
  <c r="DB69" i="1"/>
  <c r="DC69" i="1"/>
  <c r="DA69" i="1"/>
  <c r="DA77" i="1"/>
  <c r="DB77" i="1"/>
  <c r="DC77" i="1"/>
  <c r="DA186" i="1"/>
  <c r="DB186" i="1"/>
  <c r="DC186" i="1"/>
  <c r="DB16" i="1"/>
  <c r="DC16" i="1"/>
  <c r="DA16" i="1"/>
  <c r="DB38" i="1"/>
  <c r="DC38" i="1"/>
  <c r="DA38" i="1"/>
  <c r="DB219" i="1"/>
  <c r="DC219" i="1"/>
  <c r="DA219" i="1"/>
  <c r="DA7" i="1"/>
  <c r="DB7" i="1"/>
  <c r="DC7" i="1"/>
  <c r="DA143" i="1"/>
  <c r="DB143" i="1"/>
  <c r="DC143" i="1"/>
  <c r="DB70" i="1"/>
  <c r="DC70" i="1"/>
  <c r="DA70" i="1"/>
  <c r="DB106" i="1"/>
  <c r="DC106" i="1"/>
  <c r="DA106" i="1"/>
  <c r="DB254" i="1"/>
  <c r="DC254" i="1"/>
  <c r="DA254" i="1"/>
  <c r="DB134" i="1"/>
  <c r="DC134" i="1"/>
  <c r="DA134" i="1"/>
  <c r="DB177" i="1"/>
  <c r="DC177" i="1"/>
  <c r="DA177" i="1"/>
  <c r="DA115" i="1"/>
  <c r="DB115" i="1"/>
  <c r="DC115" i="1"/>
  <c r="DB20" i="1"/>
  <c r="DC20" i="1"/>
  <c r="DA20" i="1"/>
  <c r="DB217" i="1"/>
  <c r="DC217" i="1"/>
  <c r="DA217" i="1"/>
  <c r="DA11" i="1"/>
  <c r="DB11" i="1"/>
  <c r="DC11" i="1"/>
  <c r="DB259" i="1"/>
  <c r="DC259" i="1"/>
  <c r="DA259" i="1"/>
  <c r="DA29" i="1"/>
  <c r="DB29" i="1"/>
  <c r="DC29" i="1"/>
  <c r="DA158" i="1"/>
  <c r="DB158" i="1"/>
  <c r="DC158" i="1"/>
  <c r="DB245" i="1"/>
  <c r="DC245" i="1"/>
  <c r="DA245" i="1"/>
  <c r="DA200" i="1"/>
  <c r="DC200" i="1"/>
  <c r="DB200" i="1"/>
  <c r="DB30" i="1"/>
  <c r="DC30" i="1"/>
  <c r="DA30" i="1"/>
  <c r="DB14" i="1"/>
  <c r="DC14" i="1"/>
  <c r="DA14" i="1"/>
  <c r="DB42" i="1"/>
  <c r="DC42" i="1"/>
  <c r="DA42" i="1"/>
  <c r="DA101" i="1"/>
  <c r="DB101" i="1"/>
  <c r="DC101" i="1"/>
  <c r="DA216" i="1"/>
  <c r="DC216" i="1"/>
  <c r="DB216" i="1"/>
  <c r="DA234" i="1"/>
  <c r="DB234" i="1"/>
  <c r="DC234" i="1"/>
  <c r="DB32" i="1"/>
  <c r="DC32" i="1"/>
  <c r="DA32" i="1"/>
  <c r="DA156" i="1"/>
  <c r="DC156" i="1"/>
  <c r="DB156" i="1"/>
  <c r="DB195" i="1"/>
  <c r="DC195" i="1"/>
  <c r="DA195" i="1"/>
  <c r="DA31" i="1"/>
  <c r="DB31" i="1"/>
  <c r="DC31" i="1"/>
  <c r="DB237" i="1"/>
  <c r="DC237" i="1"/>
  <c r="DA237" i="1"/>
  <c r="DA27" i="1"/>
  <c r="DB27" i="1"/>
  <c r="DC27" i="1"/>
  <c r="DB229" i="1"/>
  <c r="DC229" i="1"/>
  <c r="DA229" i="1"/>
  <c r="DB146" i="1"/>
  <c r="DC146" i="1"/>
  <c r="DA146" i="1"/>
  <c r="DA87" i="1"/>
  <c r="DC87" i="1"/>
  <c r="DB87" i="1"/>
  <c r="DB239" i="1"/>
  <c r="DC239" i="1"/>
  <c r="DA239" i="1"/>
  <c r="DB144" i="1"/>
  <c r="DC144" i="1"/>
  <c r="DA144" i="1"/>
  <c r="DB90" i="1"/>
  <c r="DC90" i="1"/>
  <c r="DA90" i="1"/>
  <c r="DB58" i="1"/>
  <c r="DC58" i="1"/>
  <c r="DA58" i="1"/>
  <c r="DA151" i="1"/>
  <c r="DB151" i="1"/>
  <c r="DC151" i="1"/>
  <c r="DA45" i="1"/>
  <c r="DB45" i="1"/>
  <c r="DC45" i="1"/>
  <c r="DA121" i="1"/>
  <c r="DB121" i="1"/>
  <c r="DC121" i="1"/>
  <c r="DB98" i="1"/>
  <c r="DC98" i="1"/>
  <c r="DA98" i="1"/>
  <c r="DA240" i="1"/>
  <c r="DC240" i="1"/>
  <c r="DB240" i="1"/>
  <c r="DA228" i="1"/>
  <c r="DC228" i="1"/>
  <c r="DB228" i="1"/>
  <c r="DA214" i="1"/>
  <c r="DB214" i="1"/>
  <c r="DC214" i="1"/>
  <c r="DA238" i="1"/>
  <c r="DB238" i="1"/>
  <c r="DC238" i="1"/>
  <c r="DA15" i="1"/>
  <c r="DB15" i="1"/>
  <c r="DC15" i="1"/>
  <c r="DA23" i="1"/>
  <c r="DB23" i="1"/>
  <c r="DC23" i="1"/>
  <c r="DA183" i="1"/>
  <c r="DB183" i="1"/>
  <c r="DC183" i="1"/>
  <c r="DA220" i="1"/>
  <c r="DC220" i="1"/>
  <c r="DB220" i="1"/>
  <c r="DB82" i="1"/>
  <c r="DC82" i="1"/>
  <c r="DA82" i="1"/>
  <c r="DA83" i="1"/>
  <c r="DB83" i="1"/>
  <c r="DC83" i="1"/>
  <c r="DB227" i="1"/>
  <c r="DC227" i="1"/>
  <c r="DA227" i="1"/>
  <c r="DB173" i="1"/>
  <c r="DC173" i="1"/>
  <c r="DA173" i="1"/>
  <c r="DB169" i="1"/>
  <c r="DC169" i="1"/>
  <c r="DA169" i="1"/>
  <c r="DA97" i="1"/>
  <c r="DB97" i="1"/>
  <c r="DC97" i="1"/>
  <c r="DA194" i="1"/>
  <c r="DB194" i="1"/>
  <c r="DC194" i="1"/>
  <c r="DB13" i="1"/>
  <c r="DC13" i="1"/>
  <c r="DA13" i="1"/>
  <c r="DA262" i="1"/>
  <c r="DB262" i="1"/>
  <c r="DC262" i="1"/>
  <c r="DA224" i="1"/>
  <c r="DC224" i="1"/>
  <c r="DB224" i="1"/>
  <c r="DB80" i="1"/>
  <c r="DC80" i="1"/>
  <c r="DA80" i="1"/>
  <c r="DA71" i="1"/>
  <c r="DC71" i="1"/>
  <c r="DB71" i="1"/>
  <c r="DB203" i="1"/>
  <c r="DC203" i="1"/>
  <c r="DA203" i="1"/>
  <c r="DA149" i="1"/>
  <c r="DC149" i="1"/>
  <c r="DB149" i="1"/>
  <c r="DA172" i="1"/>
  <c r="DC172" i="1"/>
  <c r="DB172" i="1"/>
  <c r="DB225" i="1"/>
  <c r="DC225" i="1"/>
  <c r="DA225" i="1"/>
  <c r="DA137" i="1"/>
  <c r="DC137" i="1"/>
  <c r="DB137" i="1"/>
  <c r="DA218" i="1"/>
  <c r="DB218" i="1"/>
  <c r="DC218" i="1"/>
  <c r="DB86" i="1"/>
  <c r="DC86" i="1"/>
  <c r="DA86" i="1"/>
  <c r="DA85" i="1"/>
  <c r="DB85" i="1"/>
  <c r="DC85" i="1"/>
  <c r="DB52" i="1"/>
  <c r="DC52" i="1"/>
  <c r="DA52" i="1"/>
  <c r="DB92" i="1"/>
  <c r="DC92" i="1"/>
  <c r="DA92" i="1"/>
  <c r="DA252" i="1"/>
  <c r="DC252" i="1"/>
  <c r="DB252" i="1"/>
  <c r="DB120" i="1"/>
  <c r="DC120" i="1"/>
  <c r="DA120" i="1"/>
  <c r="DA204" i="1"/>
  <c r="DC204" i="1"/>
  <c r="DB204" i="1"/>
  <c r="DA79" i="1"/>
  <c r="DC79" i="1"/>
  <c r="DB79" i="1"/>
  <c r="DA88" i="1"/>
  <c r="DB88" i="1"/>
  <c r="DC88" i="1"/>
  <c r="DB261" i="1"/>
  <c r="DC261" i="1"/>
  <c r="DA261" i="1"/>
  <c r="DB6" i="1"/>
  <c r="DC6" i="1"/>
  <c r="DA6" i="1"/>
  <c r="DA210" i="1"/>
  <c r="DB210" i="1"/>
  <c r="DC210" i="1"/>
  <c r="DA125" i="1"/>
  <c r="DC125" i="1"/>
  <c r="DB125" i="1"/>
  <c r="DB102" i="1"/>
  <c r="DC102" i="1"/>
  <c r="DA102" i="1"/>
  <c r="DA95" i="1"/>
  <c r="DC95" i="1"/>
  <c r="DB95" i="1"/>
  <c r="DA152" i="1"/>
  <c r="DB152" i="1"/>
  <c r="DC152" i="1"/>
  <c r="DB72" i="1"/>
  <c r="DC72" i="1"/>
  <c r="DA72" i="1"/>
  <c r="DB119" i="1"/>
  <c r="DC119" i="1"/>
  <c r="DA119" i="1"/>
  <c r="DB175" i="1"/>
  <c r="DC175" i="1"/>
  <c r="DA175" i="1"/>
  <c r="DB26" i="1"/>
  <c r="DC26" i="1"/>
  <c r="DA26" i="1"/>
  <c r="DB213" i="1"/>
  <c r="DC213" i="1"/>
  <c r="DA213" i="1"/>
  <c r="DB8" i="1"/>
  <c r="DC8" i="1"/>
  <c r="DA8" i="1"/>
  <c r="DB264" i="1"/>
  <c r="DC264" i="1"/>
  <c r="DA264" i="1"/>
  <c r="DB60" i="1"/>
  <c r="DC60" i="1"/>
  <c r="DA60" i="1"/>
  <c r="DA61" i="1"/>
  <c r="DB61" i="1"/>
  <c r="DC61" i="1"/>
  <c r="DA64" i="1"/>
  <c r="DB64" i="1"/>
  <c r="DC64" i="1"/>
  <c r="DA113" i="1"/>
  <c r="DC113" i="1"/>
  <c r="DB113" i="1"/>
  <c r="DA244" i="1"/>
  <c r="DC244" i="1"/>
  <c r="DB244" i="1"/>
  <c r="DB118" i="1"/>
  <c r="DC118" i="1"/>
  <c r="DA118" i="1"/>
  <c r="DA127" i="1"/>
  <c r="DB127" i="1"/>
  <c r="DC127" i="1"/>
  <c r="DB22" i="1"/>
  <c r="DC22" i="1"/>
  <c r="DA22" i="1"/>
  <c r="DA206" i="1"/>
  <c r="DB206" i="1"/>
  <c r="DC206" i="1"/>
  <c r="DA21" i="1"/>
  <c r="DB21" i="1"/>
  <c r="DC21" i="1"/>
  <c r="DB56" i="1"/>
  <c r="DC56" i="1"/>
  <c r="DA56" i="1"/>
  <c r="DA166" i="1"/>
  <c r="DB166" i="1"/>
  <c r="DC166" i="1"/>
  <c r="DB199" i="1"/>
  <c r="DC199" i="1"/>
  <c r="DA199" i="1"/>
  <c r="DA99" i="1"/>
  <c r="DB99" i="1"/>
  <c r="DC99" i="1"/>
  <c r="DB50" i="1"/>
  <c r="DC50" i="1"/>
  <c r="DA50" i="1"/>
  <c r="DA265" i="1"/>
  <c r="DB265" i="1"/>
  <c r="DC265" i="1"/>
  <c r="DA129" i="1"/>
  <c r="DC129" i="1"/>
  <c r="DB129" i="1"/>
  <c r="DB100" i="1"/>
  <c r="DC100" i="1"/>
  <c r="DA100" i="1"/>
  <c r="DA63" i="1"/>
  <c r="DC63" i="1"/>
  <c r="DB63" i="1"/>
  <c r="DB84" i="1"/>
  <c r="DC84" i="1"/>
  <c r="DA84" i="1"/>
  <c r="DA256" i="1"/>
  <c r="DC256" i="1"/>
  <c r="DB256" i="1"/>
  <c r="DA25" i="1"/>
  <c r="DB25" i="1"/>
  <c r="DC25" i="1"/>
  <c r="DA263" i="1"/>
  <c r="DC263" i="1"/>
  <c r="DB263" i="1"/>
  <c r="DB235" i="1"/>
  <c r="DC235" i="1"/>
  <c r="DA235" i="1"/>
  <c r="DB54" i="1"/>
  <c r="DC54" i="1"/>
  <c r="DA54" i="1"/>
  <c r="DB76" i="1"/>
  <c r="DC76" i="1"/>
  <c r="DA76" i="1"/>
  <c r="DA230" i="1"/>
  <c r="DB230" i="1"/>
  <c r="DC230" i="1"/>
  <c r="DB161" i="1"/>
  <c r="DC161" i="1"/>
  <c r="DA161" i="1"/>
  <c r="DA248" i="1"/>
  <c r="DC248" i="1"/>
  <c r="DB248" i="1"/>
  <c r="DA170" i="1"/>
  <c r="DB170" i="1"/>
  <c r="DC170" i="1"/>
  <c r="DB154" i="1"/>
  <c r="DC154" i="1"/>
  <c r="DA154" i="1"/>
  <c r="DB68" i="1"/>
  <c r="DC68" i="1"/>
  <c r="DA68" i="1"/>
  <c r="DB153" i="1"/>
  <c r="DC153" i="1"/>
  <c r="DA153" i="1"/>
  <c r="DB165" i="1"/>
  <c r="DC165" i="1"/>
  <c r="DA165" i="1"/>
  <c r="DA57" i="1"/>
  <c r="DB57" i="1"/>
  <c r="DC57" i="1"/>
  <c r="DA185" i="1"/>
  <c r="DB185" i="1"/>
  <c r="DC185" i="1"/>
  <c r="DB207" i="1"/>
  <c r="DC207" i="1"/>
  <c r="DA207" i="1"/>
  <c r="DA188" i="1"/>
  <c r="DC188" i="1"/>
  <c r="DB188" i="1"/>
  <c r="DA147" i="1"/>
  <c r="DB147" i="1"/>
  <c r="DC147" i="1"/>
  <c r="DB243" i="1"/>
  <c r="DC243" i="1"/>
  <c r="DA243" i="1"/>
  <c r="DA184" i="1"/>
  <c r="DC184" i="1"/>
  <c r="DB184" i="1"/>
  <c r="DA145" i="1"/>
  <c r="DC145" i="1"/>
  <c r="DB145" i="1"/>
  <c r="DB18" i="1"/>
  <c r="DC18" i="1"/>
  <c r="DA18" i="1"/>
  <c r="DA93" i="1"/>
  <c r="DB93" i="1"/>
  <c r="DC93" i="1"/>
  <c r="DA192" i="1"/>
  <c r="DC192" i="1"/>
  <c r="DB192" i="1"/>
  <c r="DB253" i="1"/>
  <c r="DC253" i="1"/>
  <c r="DA253" i="1"/>
  <c r="DA53" i="1"/>
  <c r="DB53" i="1"/>
  <c r="DC53" i="1"/>
  <c r="DA67" i="1"/>
  <c r="DB67" i="1"/>
  <c r="DC67" i="1"/>
  <c r="DA198" i="1"/>
  <c r="DB198" i="1"/>
  <c r="DC198" i="1"/>
  <c r="DB28" i="1"/>
  <c r="DC28" i="1"/>
  <c r="DA28" i="1"/>
  <c r="DA268" i="1"/>
  <c r="DB268" i="1"/>
  <c r="DC268" i="1"/>
  <c r="DA164" i="1"/>
  <c r="DC164" i="1"/>
  <c r="DB164" i="1"/>
  <c r="DA182" i="1"/>
  <c r="DB182" i="1"/>
  <c r="DC182" i="1"/>
  <c r="DA236" i="1"/>
  <c r="DC236" i="1"/>
  <c r="DB236" i="1"/>
  <c r="DA267" i="1"/>
  <c r="DC267" i="1"/>
  <c r="DB267" i="1"/>
  <c r="DA75" i="1"/>
  <c r="DB75" i="1"/>
  <c r="DC75" i="1"/>
  <c r="DA178" i="1"/>
  <c r="DB178" i="1"/>
  <c r="DC178" i="1"/>
  <c r="DB247" i="1"/>
  <c r="DC247" i="1"/>
  <c r="DA247" i="1"/>
  <c r="DA179" i="1"/>
  <c r="DB179" i="1"/>
  <c r="DC179" i="1"/>
  <c r="DA212" i="1"/>
  <c r="DC212" i="1"/>
  <c r="DB212" i="1"/>
  <c r="DB148" i="1"/>
  <c r="DC148" i="1"/>
  <c r="DA148" i="1"/>
  <c r="DB187" i="1"/>
  <c r="DC187" i="1"/>
  <c r="DA187" i="1"/>
  <c r="DB116" i="1"/>
  <c r="DC116" i="1"/>
  <c r="DA116" i="1"/>
  <c r="DA105" i="1"/>
  <c r="DB105" i="1"/>
  <c r="DC105" i="1"/>
  <c r="DA17" i="1"/>
  <c r="DB17" i="1"/>
  <c r="DC17" i="1"/>
  <c r="DA59" i="1"/>
  <c r="DB59" i="1"/>
  <c r="DC59" i="1"/>
  <c r="DA35" i="1"/>
  <c r="DB35" i="1"/>
  <c r="DC35" i="1"/>
  <c r="DA141" i="1"/>
  <c r="DC141" i="1"/>
  <c r="DB141" i="1"/>
  <c r="DB190" i="1"/>
  <c r="DC190" i="1"/>
  <c r="DA190" i="1"/>
  <c r="DB130" i="1"/>
  <c r="DC130" i="1"/>
  <c r="DA130" i="1"/>
  <c r="DA202" i="1"/>
  <c r="DB202" i="1"/>
  <c r="DC202" i="1"/>
  <c r="DB140" i="1"/>
  <c r="DC140" i="1"/>
  <c r="DA140" i="1"/>
  <c r="DB40" i="1"/>
  <c r="DC40" i="1"/>
  <c r="DA40" i="1"/>
  <c r="DB191" i="1"/>
  <c r="DC191" i="1"/>
  <c r="DA191" i="1"/>
  <c r="DA168" i="1"/>
  <c r="DC168" i="1"/>
  <c r="DB168" i="1"/>
  <c r="DB223" i="1"/>
  <c r="DC223" i="1"/>
  <c r="DA223" i="1"/>
  <c r="DB215" i="1"/>
  <c r="DC215" i="1"/>
  <c r="DA215" i="1"/>
  <c r="DB136" i="1"/>
  <c r="DC136" i="1"/>
  <c r="DA136" i="1"/>
  <c r="DA222" i="1"/>
  <c r="DB222" i="1"/>
  <c r="DC222" i="1"/>
  <c r="DB104" i="1"/>
  <c r="DC104" i="1"/>
  <c r="DA104" i="1"/>
  <c r="DB163" i="1"/>
  <c r="DC163" i="1"/>
  <c r="DA163" i="1"/>
  <c r="DA43" i="1"/>
  <c r="DB43" i="1"/>
  <c r="DC43" i="1"/>
  <c r="DA107" i="1"/>
  <c r="DB107" i="1"/>
  <c r="DC107" i="1"/>
  <c r="DB167" i="1"/>
  <c r="DC167" i="1"/>
  <c r="DA167" i="1"/>
  <c r="DA258" i="1"/>
  <c r="DB258" i="1"/>
  <c r="DC258" i="1"/>
  <c r="DA81" i="1"/>
  <c r="DB81" i="1"/>
  <c r="DC81" i="1"/>
  <c r="DA162" i="1"/>
  <c r="DB162" i="1"/>
  <c r="DC162" i="1"/>
  <c r="DA49" i="1"/>
  <c r="DB49" i="1"/>
  <c r="DC49" i="1"/>
  <c r="DB114" i="1"/>
  <c r="DC114" i="1"/>
  <c r="DA114" i="1"/>
  <c r="DB122" i="1"/>
  <c r="DC122" i="1"/>
  <c r="DA122" i="1"/>
  <c r="DB36" i="1"/>
  <c r="DC36" i="1"/>
  <c r="DA36" i="1"/>
  <c r="DB142" i="1"/>
  <c r="DC142" i="1"/>
  <c r="DA142" i="1"/>
  <c r="DA242" i="1"/>
  <c r="DB242" i="1"/>
  <c r="DC242" i="1"/>
  <c r="DA232" i="1"/>
  <c r="DC232" i="1"/>
  <c r="DB232" i="1"/>
  <c r="DB211" i="1"/>
  <c r="DC211" i="1"/>
  <c r="DA211" i="1"/>
  <c r="DB132" i="1"/>
  <c r="DC132" i="1"/>
  <c r="DA132" i="1"/>
  <c r="DB89" i="1"/>
  <c r="DC89" i="1"/>
  <c r="DA89" i="1"/>
  <c r="DB96" i="1"/>
  <c r="DC96" i="1"/>
  <c r="DA96" i="1"/>
  <c r="DA226" i="1"/>
  <c r="DB226" i="1"/>
  <c r="DC226" i="1"/>
  <c r="DA270" i="1"/>
  <c r="DC270" i="1"/>
  <c r="DB270" i="1"/>
  <c r="DA109" i="1"/>
  <c r="DB109" i="1"/>
  <c r="DC109" i="1"/>
  <c r="DB221" i="1"/>
  <c r="DC221" i="1"/>
  <c r="DA221" i="1"/>
  <c r="DA66" i="1"/>
  <c r="DC66" i="1"/>
  <c r="DB66" i="1"/>
  <c r="DA133" i="1"/>
  <c r="DC133" i="1"/>
  <c r="DB133" i="1"/>
  <c r="DA41" i="1"/>
  <c r="DB41" i="1"/>
  <c r="DC41" i="1"/>
  <c r="DA131" i="1"/>
  <c r="DB131" i="1"/>
  <c r="DC131" i="1"/>
  <c r="DB10" i="1"/>
  <c r="DC10" i="1"/>
  <c r="DA10" i="1"/>
  <c r="DA117" i="1"/>
  <c r="DB117" i="1"/>
  <c r="DC117" i="1"/>
  <c r="DA37" i="1"/>
  <c r="DB37" i="1"/>
  <c r="DC37" i="1"/>
  <c r="DB231" i="1"/>
  <c r="DC231" i="1"/>
  <c r="DA231" i="1"/>
  <c r="CR134" i="1"/>
  <c r="DA260" i="1"/>
  <c r="DC260" i="1"/>
  <c r="DB260" i="1"/>
  <c r="DB46" i="1"/>
  <c r="DC46" i="1"/>
  <c r="DA46" i="1"/>
  <c r="DA246" i="1"/>
  <c r="DB246" i="1"/>
  <c r="DC246" i="1"/>
  <c r="DA55" i="1"/>
  <c r="DC55" i="1"/>
  <c r="DB55" i="1"/>
  <c r="DB233" i="1"/>
  <c r="DC233" i="1"/>
  <c r="DA233" i="1"/>
  <c r="DB197" i="1"/>
  <c r="DC197" i="1"/>
  <c r="DA197" i="1"/>
  <c r="DA34" i="1"/>
  <c r="DB34" i="1"/>
  <c r="DC34" i="1"/>
  <c r="DA180" i="1"/>
  <c r="DC180" i="1"/>
  <c r="DB180" i="1"/>
  <c r="DB150" i="1"/>
  <c r="DC150" i="1"/>
  <c r="DA150" i="1"/>
  <c r="DB155" i="1"/>
  <c r="DC155" i="1"/>
  <c r="DA155" i="1"/>
  <c r="DA176" i="1"/>
  <c r="DC176" i="1"/>
  <c r="DB176" i="1"/>
  <c r="DB48" i="1"/>
  <c r="DC48" i="1"/>
  <c r="DA48" i="1"/>
  <c r="DA250" i="1"/>
  <c r="DB250" i="1"/>
  <c r="DC250" i="1"/>
  <c r="DA201" i="1"/>
  <c r="DB201" i="1"/>
  <c r="DC201" i="1"/>
  <c r="DB189" i="1"/>
  <c r="DC189" i="1"/>
  <c r="DA189" i="1"/>
  <c r="DB171" i="1"/>
  <c r="DC171" i="1"/>
  <c r="DA171" i="1"/>
  <c r="CS7" i="1"/>
  <c r="CT28" i="1"/>
  <c r="CT82" i="1"/>
  <c r="CT83" i="1"/>
  <c r="CR227" i="1"/>
  <c r="CR173" i="1"/>
  <c r="CR169" i="1"/>
  <c r="CT97" i="1"/>
  <c r="CR194" i="1"/>
  <c r="CT13" i="1"/>
  <c r="CT70" i="1"/>
  <c r="CR268" i="1"/>
  <c r="CT134" i="1"/>
  <c r="CR265" i="1"/>
  <c r="CS129" i="1"/>
  <c r="CT63" i="1"/>
  <c r="CS256" i="1"/>
  <c r="CR263" i="1"/>
  <c r="CR230" i="1"/>
  <c r="CR170" i="1"/>
  <c r="CT6" i="1"/>
  <c r="CR182" i="1"/>
  <c r="CR260" i="1"/>
  <c r="CR246" i="1"/>
  <c r="CR34" i="1"/>
  <c r="CS180" i="1"/>
  <c r="CR150" i="1"/>
  <c r="CR155" i="1"/>
  <c r="CS201" i="1"/>
  <c r="CR189" i="1"/>
  <c r="CS170" i="1"/>
  <c r="CS25" i="1"/>
  <c r="CT171" i="1"/>
  <c r="CT248" i="1"/>
  <c r="CR256" i="1"/>
  <c r="CR50" i="1"/>
  <c r="CS84" i="1"/>
  <c r="CT170" i="1"/>
  <c r="CR161" i="1"/>
  <c r="CT230" i="1"/>
  <c r="CR235" i="1"/>
  <c r="CR248" i="1"/>
  <c r="CS173" i="1"/>
  <c r="CS70" i="1"/>
  <c r="CR210" i="1"/>
  <c r="CT129" i="1"/>
  <c r="CS198" i="1"/>
  <c r="CT53" i="1"/>
  <c r="CT254" i="1"/>
  <c r="CS67" i="1"/>
  <c r="CR143" i="1"/>
  <c r="CR254" i="1"/>
  <c r="CR164" i="1"/>
  <c r="CR7" i="1"/>
  <c r="CR198" i="1"/>
  <c r="CR6" i="1"/>
  <c r="CR70" i="1"/>
  <c r="CT182" i="1"/>
  <c r="CT7" i="1"/>
  <c r="CS254" i="1"/>
  <c r="CT106" i="1"/>
  <c r="CS182" i="1"/>
  <c r="CS143" i="1"/>
  <c r="CS210" i="1"/>
  <c r="CT261" i="1"/>
  <c r="CS169" i="1"/>
  <c r="CR80" i="1"/>
  <c r="CT262" i="1"/>
  <c r="CS262" i="1"/>
  <c r="CT224" i="1"/>
  <c r="CS224" i="1"/>
  <c r="CT227" i="1"/>
  <c r="CR203" i="1"/>
  <c r="CS71" i="1"/>
  <c r="CR71" i="1"/>
  <c r="CR225" i="1"/>
  <c r="CR172" i="1"/>
  <c r="CS149" i="1"/>
  <c r="CS80" i="1"/>
  <c r="CR13" i="1"/>
  <c r="CR262" i="1"/>
  <c r="CR224" i="1"/>
  <c r="CS225" i="1"/>
  <c r="CT225" i="1"/>
  <c r="CS227" i="1"/>
  <c r="CT203" i="1"/>
  <c r="CS203" i="1"/>
  <c r="CT71" i="1"/>
  <c r="CT172" i="1"/>
  <c r="CS194" i="1"/>
  <c r="CR149" i="1"/>
  <c r="CS82" i="1"/>
  <c r="CR201" i="1"/>
  <c r="CR76" i="1"/>
  <c r="CS155" i="1"/>
  <c r="CR197" i="1"/>
  <c r="CS189" i="1"/>
  <c r="CS250" i="1"/>
  <c r="CT189" i="1"/>
  <c r="CR250" i="1"/>
  <c r="CR67" i="1"/>
  <c r="CS176" i="1"/>
  <c r="CR48" i="1"/>
  <c r="CS106" i="1"/>
  <c r="CR28" i="1"/>
  <c r="CS164" i="1"/>
  <c r="CS261" i="1"/>
  <c r="CT268" i="1"/>
  <c r="CS268" i="1"/>
  <c r="CT155" i="1"/>
  <c r="CT250" i="1"/>
  <c r="CR176" i="1"/>
  <c r="CT201" i="1"/>
  <c r="CT198" i="1"/>
  <c r="CS6" i="1"/>
  <c r="CT176" i="1"/>
  <c r="CT48" i="1"/>
  <c r="CS48" i="1"/>
  <c r="CR106" i="1"/>
  <c r="CT164" i="1"/>
  <c r="CT210" i="1"/>
  <c r="CS230" i="1"/>
  <c r="CT25" i="1"/>
  <c r="CS235" i="1"/>
  <c r="CS50" i="1"/>
  <c r="CS63" i="1"/>
  <c r="CR63" i="1"/>
  <c r="CT84" i="1"/>
  <c r="CR129" i="1"/>
  <c r="CS161" i="1"/>
  <c r="CR54" i="1"/>
  <c r="CS76" i="1"/>
  <c r="CT263" i="1"/>
  <c r="CS263" i="1"/>
  <c r="CT235" i="1"/>
  <c r="CT50" i="1"/>
  <c r="CT265" i="1"/>
  <c r="CS265" i="1"/>
  <c r="CR100" i="1"/>
  <c r="CT161" i="1"/>
  <c r="CS54" i="1"/>
  <c r="CT76" i="1"/>
  <c r="CS248" i="1"/>
  <c r="CT256" i="1"/>
  <c r="CR25" i="1"/>
  <c r="CR84" i="1"/>
  <c r="CT54" i="1"/>
  <c r="CT150" i="1"/>
  <c r="CT246" i="1"/>
  <c r="CT55" i="1"/>
  <c r="CT197" i="1"/>
  <c r="CS34" i="1"/>
  <c r="CT67" i="1"/>
  <c r="CT180" i="1"/>
  <c r="CS28" i="1"/>
  <c r="CT143" i="1"/>
  <c r="CR53" i="1"/>
  <c r="CR261" i="1"/>
  <c r="CS53" i="1"/>
  <c r="CS246" i="1"/>
  <c r="CS197" i="1"/>
  <c r="CT34" i="1"/>
  <c r="CS233" i="1"/>
  <c r="CT233" i="1"/>
  <c r="CR46" i="1"/>
  <c r="CR55" i="1"/>
  <c r="CR233" i="1"/>
  <c r="CR180" i="1"/>
  <c r="CS150" i="1"/>
  <c r="CS46" i="1"/>
  <c r="CS55" i="1"/>
  <c r="CT260" i="1"/>
  <c r="CS260" i="1"/>
  <c r="CT46" i="1"/>
  <c r="CT194" i="1"/>
  <c r="CT169" i="1"/>
  <c r="CR82" i="1"/>
  <c r="CS83" i="1"/>
  <c r="CR83" i="1"/>
  <c r="CT173" i="1"/>
  <c r="CR97" i="1"/>
  <c r="CS97" i="1"/>
  <c r="CR269" i="1"/>
  <c r="CS269" i="1"/>
  <c r="CT269" i="1"/>
  <c r="CR202" i="1"/>
  <c r="CS202" i="1"/>
  <c r="CT202" i="1"/>
  <c r="CS140" i="1"/>
  <c r="CT140" i="1"/>
  <c r="CR140" i="1"/>
  <c r="CR191" i="1"/>
  <c r="CS191" i="1"/>
  <c r="CT191" i="1"/>
  <c r="CR223" i="1"/>
  <c r="CS223" i="1"/>
  <c r="CT223" i="1"/>
  <c r="CS136" i="1"/>
  <c r="CT136" i="1"/>
  <c r="CR136" i="1"/>
  <c r="CT104" i="1"/>
  <c r="CR104" i="1"/>
  <c r="CS104" i="1"/>
  <c r="CR43" i="1"/>
  <c r="CS43" i="1"/>
  <c r="CT43" i="1"/>
  <c r="CT107" i="1"/>
  <c r="CR107" i="1"/>
  <c r="CS107" i="1"/>
  <c r="CS258" i="1"/>
  <c r="CT258" i="1"/>
  <c r="CR258" i="1"/>
  <c r="CT162" i="1"/>
  <c r="CR162" i="1"/>
  <c r="CS162" i="1"/>
  <c r="CS114" i="1"/>
  <c r="CT114" i="1"/>
  <c r="CR114" i="1"/>
  <c r="CS122" i="1"/>
  <c r="CT122" i="1"/>
  <c r="CR122" i="1"/>
  <c r="CR36" i="1"/>
  <c r="CS36" i="1"/>
  <c r="CT36" i="1"/>
  <c r="CR242" i="1"/>
  <c r="CT242" i="1"/>
  <c r="CS242" i="1"/>
  <c r="CR211" i="1"/>
  <c r="CS211" i="1"/>
  <c r="CT211" i="1"/>
  <c r="CS89" i="1"/>
  <c r="CT89" i="1"/>
  <c r="CR89" i="1"/>
  <c r="CS270" i="1"/>
  <c r="CR270" i="1"/>
  <c r="CT270" i="1"/>
  <c r="CR221" i="1"/>
  <c r="CS221" i="1"/>
  <c r="CT221" i="1"/>
  <c r="CS66" i="1"/>
  <c r="CT66" i="1"/>
  <c r="CR66" i="1"/>
  <c r="CS131" i="1"/>
  <c r="CT131" i="1"/>
  <c r="CR131" i="1"/>
  <c r="CS117" i="1"/>
  <c r="CT117" i="1"/>
  <c r="CR117" i="1"/>
  <c r="CR231" i="1"/>
  <c r="CS231" i="1"/>
  <c r="CT231" i="1"/>
  <c r="CS19" i="1"/>
  <c r="CT19" i="1"/>
  <c r="CR19" i="1"/>
  <c r="CR154" i="1"/>
  <c r="CS154" i="1"/>
  <c r="CT154" i="1"/>
  <c r="CT73" i="1"/>
  <c r="CR73" i="1"/>
  <c r="CS73" i="1"/>
  <c r="CR218" i="1"/>
  <c r="CS218" i="1"/>
  <c r="CT218" i="1"/>
  <c r="CT68" i="1"/>
  <c r="CR68" i="1"/>
  <c r="CS68" i="1"/>
  <c r="CS108" i="1"/>
  <c r="CT108" i="1"/>
  <c r="CR108" i="1"/>
  <c r="CR153" i="1"/>
  <c r="CS153" i="1"/>
  <c r="CT153" i="1"/>
  <c r="CT86" i="1"/>
  <c r="CR86" i="1"/>
  <c r="CS86" i="1"/>
  <c r="CR91" i="1"/>
  <c r="CS91" i="1"/>
  <c r="CT91" i="1"/>
  <c r="CR165" i="1"/>
  <c r="CS165" i="1"/>
  <c r="CT165" i="1"/>
  <c r="CT85" i="1"/>
  <c r="CR85" i="1"/>
  <c r="CS85" i="1"/>
  <c r="CS110" i="1"/>
  <c r="CT110" i="1"/>
  <c r="CR110" i="1"/>
  <c r="CR57" i="1"/>
  <c r="CS57" i="1"/>
  <c r="CT57" i="1"/>
  <c r="CR52" i="1"/>
  <c r="CS52" i="1"/>
  <c r="CT52" i="1"/>
  <c r="CR185" i="1"/>
  <c r="CS135" i="1"/>
  <c r="CT135" i="1"/>
  <c r="CR135" i="1"/>
  <c r="CR207" i="1"/>
  <c r="CS207" i="1"/>
  <c r="CT207" i="1"/>
  <c r="CT92" i="1"/>
  <c r="CR92" i="1"/>
  <c r="CS92" i="1"/>
  <c r="CS255" i="1"/>
  <c r="CT255" i="1"/>
  <c r="CR255" i="1"/>
  <c r="CR188" i="1"/>
  <c r="CS188" i="1"/>
  <c r="CT188" i="1"/>
  <c r="CR44" i="1"/>
  <c r="CS44" i="1"/>
  <c r="CT44" i="1"/>
  <c r="CS147" i="1"/>
  <c r="CT147" i="1"/>
  <c r="CR147" i="1"/>
  <c r="CS252" i="1"/>
  <c r="CT252" i="1"/>
  <c r="CR252" i="1"/>
  <c r="CR243" i="1"/>
  <c r="CS243" i="1"/>
  <c r="CT243" i="1"/>
  <c r="CS124" i="1"/>
  <c r="CT124" i="1"/>
  <c r="CR124" i="1"/>
  <c r="CT120" i="1"/>
  <c r="CR120" i="1"/>
  <c r="CS120" i="1"/>
  <c r="CR184" i="1"/>
  <c r="CS184" i="1"/>
  <c r="CT184" i="1"/>
  <c r="CS69" i="1"/>
  <c r="CT69" i="1"/>
  <c r="CR69" i="1"/>
  <c r="CS145" i="1"/>
  <c r="CT145" i="1"/>
  <c r="CR145" i="1"/>
  <c r="CT77" i="1"/>
  <c r="CR77" i="1"/>
  <c r="CS77" i="1"/>
  <c r="CR204" i="1"/>
  <c r="CS204" i="1"/>
  <c r="CT204" i="1"/>
  <c r="CR18" i="1"/>
  <c r="CS18" i="1"/>
  <c r="CT18" i="1"/>
  <c r="CR186" i="1"/>
  <c r="CS186" i="1"/>
  <c r="CT186" i="1"/>
  <c r="CS16" i="1"/>
  <c r="CT16" i="1"/>
  <c r="CR16" i="1"/>
  <c r="CT93" i="1"/>
  <c r="CR93" i="1"/>
  <c r="CS93" i="1"/>
  <c r="CT79" i="1"/>
  <c r="CR79" i="1"/>
  <c r="CS79" i="1"/>
  <c r="CR38" i="1"/>
  <c r="CS38" i="1"/>
  <c r="CT38" i="1"/>
  <c r="CR192" i="1"/>
  <c r="CS192" i="1"/>
  <c r="CT192" i="1"/>
  <c r="CR219" i="1"/>
  <c r="CS219" i="1"/>
  <c r="CT219" i="1"/>
  <c r="CS88" i="1"/>
  <c r="CT88" i="1"/>
  <c r="CR88" i="1"/>
  <c r="CS253" i="1"/>
  <c r="CT253" i="1"/>
  <c r="CR253" i="1"/>
  <c r="CR177" i="1"/>
  <c r="CS177" i="1"/>
  <c r="CT177" i="1"/>
  <c r="CS20" i="1"/>
  <c r="CT20" i="1"/>
  <c r="CR20" i="1"/>
  <c r="CS259" i="1"/>
  <c r="CR259" i="1"/>
  <c r="CT259" i="1"/>
  <c r="CR158" i="1"/>
  <c r="CS158" i="1"/>
  <c r="CT158" i="1"/>
  <c r="CR200" i="1"/>
  <c r="CS200" i="1"/>
  <c r="CT200" i="1"/>
  <c r="CR42" i="1"/>
  <c r="CS42" i="1"/>
  <c r="CT42" i="1"/>
  <c r="CR216" i="1"/>
  <c r="CS216" i="1"/>
  <c r="CT216" i="1"/>
  <c r="CS32" i="1"/>
  <c r="CT32" i="1"/>
  <c r="CR32" i="1"/>
  <c r="CR195" i="1"/>
  <c r="CS195" i="1"/>
  <c r="CT195" i="1"/>
  <c r="CS27" i="1"/>
  <c r="CT27" i="1"/>
  <c r="CR27" i="1"/>
  <c r="CS146" i="1"/>
  <c r="CT146" i="1"/>
  <c r="CR146" i="1"/>
  <c r="CT90" i="1"/>
  <c r="CR90" i="1"/>
  <c r="CS90" i="1"/>
  <c r="CR45" i="1"/>
  <c r="CS45" i="1"/>
  <c r="CT45" i="1"/>
  <c r="CR240" i="1"/>
  <c r="CS240" i="1"/>
  <c r="CT240" i="1"/>
  <c r="CR238" i="1"/>
  <c r="CT238" i="1"/>
  <c r="CS238" i="1"/>
  <c r="CR220" i="1"/>
  <c r="CS220" i="1"/>
  <c r="CT220" i="1"/>
  <c r="CR40" i="1"/>
  <c r="CS40" i="1"/>
  <c r="CT40" i="1"/>
  <c r="CR168" i="1"/>
  <c r="CS168" i="1"/>
  <c r="CT168" i="1"/>
  <c r="CR215" i="1"/>
  <c r="CS215" i="1"/>
  <c r="CT215" i="1"/>
  <c r="CR222" i="1"/>
  <c r="CT222" i="1"/>
  <c r="CS222" i="1"/>
  <c r="CR163" i="1"/>
  <c r="CS163" i="1"/>
  <c r="CT163" i="1"/>
  <c r="CR167" i="1"/>
  <c r="CS167" i="1"/>
  <c r="CT167" i="1"/>
  <c r="CT81" i="1"/>
  <c r="CR81" i="1"/>
  <c r="CS81" i="1"/>
  <c r="CR49" i="1"/>
  <c r="CS49" i="1"/>
  <c r="CT49" i="1"/>
  <c r="CS142" i="1"/>
  <c r="CT142" i="1"/>
  <c r="CR142" i="1"/>
  <c r="CR232" i="1"/>
  <c r="CS232" i="1"/>
  <c r="CT232" i="1"/>
  <c r="CS132" i="1"/>
  <c r="CT132" i="1"/>
  <c r="CR132" i="1"/>
  <c r="CT96" i="1"/>
  <c r="CR96" i="1"/>
  <c r="CS96" i="1"/>
  <c r="CR226" i="1"/>
  <c r="CT226" i="1"/>
  <c r="CS226" i="1"/>
  <c r="CS109" i="1"/>
  <c r="CT109" i="1"/>
  <c r="CR109" i="1"/>
  <c r="CS133" i="1"/>
  <c r="CT133" i="1"/>
  <c r="CR133" i="1"/>
  <c r="CR41" i="1"/>
  <c r="CS41" i="1"/>
  <c r="CT41" i="1"/>
  <c r="CS10" i="1"/>
  <c r="CT10" i="1"/>
  <c r="CR10" i="1"/>
  <c r="CR37" i="1"/>
  <c r="CS37" i="1"/>
  <c r="CT37" i="1"/>
  <c r="CS115" i="1"/>
  <c r="CT115" i="1"/>
  <c r="CR115" i="1"/>
  <c r="CR217" i="1"/>
  <c r="CS217" i="1"/>
  <c r="CT217" i="1"/>
  <c r="CS11" i="1"/>
  <c r="CT11" i="1"/>
  <c r="CR11" i="1"/>
  <c r="CS29" i="1"/>
  <c r="CT29" i="1"/>
  <c r="CR29" i="1"/>
  <c r="CR245" i="1"/>
  <c r="CS245" i="1"/>
  <c r="CT245" i="1"/>
  <c r="CS30" i="1"/>
  <c r="CT30" i="1"/>
  <c r="CR30" i="1"/>
  <c r="CS14" i="1"/>
  <c r="CT14" i="1"/>
  <c r="CR14" i="1"/>
  <c r="CT101" i="1"/>
  <c r="CR101" i="1"/>
  <c r="CS101" i="1"/>
  <c r="CR234" i="1"/>
  <c r="CT234" i="1"/>
  <c r="CS234" i="1"/>
  <c r="CR156" i="1"/>
  <c r="CS156" i="1"/>
  <c r="CT156" i="1"/>
  <c r="CS31" i="1"/>
  <c r="CT31" i="1"/>
  <c r="CR31" i="1"/>
  <c r="CR237" i="1"/>
  <c r="CT237" i="1"/>
  <c r="CS237" i="1"/>
  <c r="CR229" i="1"/>
  <c r="CT229" i="1"/>
  <c r="CS229" i="1"/>
  <c r="CT87" i="1"/>
  <c r="CR87" i="1"/>
  <c r="CS87" i="1"/>
  <c r="CR239" i="1"/>
  <c r="CS239" i="1"/>
  <c r="CT239" i="1"/>
  <c r="CS144" i="1"/>
  <c r="CT144" i="1"/>
  <c r="CR144" i="1"/>
  <c r="CR58" i="1"/>
  <c r="CS58" i="1"/>
  <c r="CT58" i="1"/>
  <c r="CR151" i="1"/>
  <c r="CS151" i="1"/>
  <c r="CT151" i="1"/>
  <c r="CS121" i="1"/>
  <c r="CT121" i="1"/>
  <c r="CR121" i="1"/>
  <c r="CT98" i="1"/>
  <c r="CR98" i="1"/>
  <c r="CS98" i="1"/>
  <c r="CR228" i="1"/>
  <c r="CS228" i="1"/>
  <c r="CT228" i="1"/>
  <c r="CR214" i="1"/>
  <c r="CS214" i="1"/>
  <c r="CT214" i="1"/>
  <c r="CS15" i="1"/>
  <c r="CT15" i="1"/>
  <c r="CR15" i="1"/>
  <c r="CS23" i="1"/>
  <c r="CT23" i="1"/>
  <c r="CR23" i="1"/>
  <c r="CT183" i="1"/>
  <c r="CR183" i="1"/>
  <c r="CS183" i="1"/>
  <c r="CR236" i="1"/>
  <c r="CS236" i="1"/>
  <c r="CT236" i="1"/>
  <c r="CS267" i="1"/>
  <c r="CR267" i="1"/>
  <c r="CT267" i="1"/>
  <c r="CS125" i="1"/>
  <c r="CT125" i="1"/>
  <c r="CR125" i="1"/>
  <c r="CT75" i="1"/>
  <c r="CR75" i="1"/>
  <c r="CS75" i="1"/>
  <c r="CR178" i="1"/>
  <c r="CS178" i="1"/>
  <c r="CT178" i="1"/>
  <c r="CT102" i="1"/>
  <c r="CR102" i="1"/>
  <c r="CS102" i="1"/>
  <c r="CR247" i="1"/>
  <c r="CS247" i="1"/>
  <c r="CT247" i="1"/>
  <c r="CT179" i="1"/>
  <c r="CR179" i="1"/>
  <c r="CS179" i="1"/>
  <c r="CR212" i="1"/>
  <c r="CS212" i="1"/>
  <c r="CT212" i="1"/>
  <c r="CT95" i="1"/>
  <c r="CR95" i="1"/>
  <c r="CS95" i="1"/>
  <c r="CS148" i="1"/>
  <c r="CT148" i="1"/>
  <c r="CR148" i="1"/>
  <c r="CR187" i="1"/>
  <c r="CS187" i="1"/>
  <c r="CT187" i="1"/>
  <c r="CS152" i="1"/>
  <c r="CT152" i="1"/>
  <c r="CR152" i="1"/>
  <c r="CS116" i="1"/>
  <c r="CT116" i="1"/>
  <c r="CR116" i="1"/>
  <c r="CT105" i="1"/>
  <c r="CR105" i="1"/>
  <c r="CS105" i="1"/>
  <c r="CS17" i="1"/>
  <c r="CT17" i="1"/>
  <c r="CR17" i="1"/>
  <c r="CT72" i="1"/>
  <c r="CR72" i="1"/>
  <c r="CS72" i="1"/>
  <c r="CR59" i="1"/>
  <c r="CS59" i="1"/>
  <c r="CT59" i="1"/>
  <c r="CR35" i="1"/>
  <c r="CS35" i="1"/>
  <c r="CT35" i="1"/>
  <c r="CR119" i="1"/>
  <c r="CS119" i="1"/>
  <c r="CT119" i="1"/>
  <c r="CS141" i="1"/>
  <c r="CT141" i="1"/>
  <c r="CR141" i="1"/>
  <c r="CR175" i="1"/>
  <c r="CS175" i="1"/>
  <c r="CT175" i="1"/>
  <c r="CR190" i="1"/>
  <c r="CS190" i="1"/>
  <c r="CT190" i="1"/>
  <c r="CS26" i="1"/>
  <c r="CT26" i="1"/>
  <c r="CR26" i="1"/>
  <c r="CS130" i="1"/>
  <c r="CT130" i="1"/>
  <c r="CR130" i="1"/>
  <c r="CR213" i="1"/>
  <c r="CS213" i="1"/>
  <c r="CT213" i="1"/>
  <c r="CS8" i="1"/>
  <c r="CT8" i="1"/>
  <c r="CR8" i="1"/>
  <c r="CS264" i="1"/>
  <c r="CR264" i="1"/>
  <c r="CT264" i="1"/>
  <c r="CR60" i="1"/>
  <c r="CS60" i="1"/>
  <c r="CT60" i="1"/>
  <c r="CR61" i="1"/>
  <c r="CS61" i="1"/>
  <c r="CT61" i="1"/>
  <c r="CR64" i="1"/>
  <c r="CS64" i="1"/>
  <c r="CT64" i="1"/>
  <c r="CR113" i="1"/>
  <c r="CS113" i="1"/>
  <c r="CT113" i="1"/>
  <c r="CR244" i="1"/>
  <c r="CS244" i="1"/>
  <c r="CT244" i="1"/>
  <c r="CS118" i="1"/>
  <c r="CT118" i="1"/>
  <c r="CR118" i="1"/>
  <c r="CS127" i="1"/>
  <c r="CT127" i="1"/>
  <c r="CR127" i="1"/>
  <c r="CS22" i="1"/>
  <c r="CT22" i="1"/>
  <c r="CR22" i="1"/>
  <c r="CR206" i="1"/>
  <c r="CS206" i="1"/>
  <c r="CT206" i="1"/>
  <c r="CS21" i="1"/>
  <c r="CT21" i="1"/>
  <c r="CR21" i="1"/>
  <c r="CR56" i="1"/>
  <c r="CS56" i="1"/>
  <c r="CT56" i="1"/>
  <c r="CR166" i="1"/>
  <c r="CS166" i="1"/>
  <c r="CT166" i="1"/>
  <c r="CR199" i="1"/>
  <c r="CS199" i="1"/>
  <c r="CT199" i="1"/>
  <c r="CT99" i="1"/>
  <c r="CR99" i="1"/>
  <c r="CS99" i="1"/>
  <c r="DF257" i="1" l="1" a="1"/>
  <c r="DF257" i="1" s="1"/>
  <c r="DJ257" i="1" s="1"/>
  <c r="DG257" i="1" a="1"/>
  <c r="DG257" i="1" s="1"/>
  <c r="DK257" i="1" s="1"/>
  <c r="DG112" i="1" a="1"/>
  <c r="DG112" i="1" s="1"/>
  <c r="DK112" i="1" s="1"/>
  <c r="DF112" i="1" a="1"/>
  <c r="DF112" i="1" s="1"/>
  <c r="DJ112" i="1" s="1"/>
  <c r="C39" i="3"/>
  <c r="F38" i="3"/>
  <c r="E46" i="3"/>
  <c r="DG126" i="1" a="1"/>
  <c r="DG126" i="1" s="1"/>
  <c r="DF126" i="1" a="1"/>
  <c r="DF126" i="1" s="1"/>
  <c r="DF209" i="1" a="1"/>
  <c r="DF209" i="1" s="1"/>
  <c r="DG209" i="1" a="1"/>
  <c r="DG209" i="1" s="1"/>
  <c r="DF94" i="1" a="1"/>
  <c r="DF94" i="1" s="1"/>
  <c r="DF12" i="1" a="1"/>
  <c r="DF12" i="1" s="1"/>
  <c r="DG12" i="1" a="1"/>
  <c r="DG12" i="1" s="1"/>
  <c r="DG94" i="1" a="1"/>
  <c r="DG94" i="1" s="1"/>
  <c r="DF123" i="1" a="1"/>
  <c r="DF123" i="1" s="1"/>
  <c r="DF208" i="1" a="1"/>
  <c r="DF208" i="1" s="1"/>
  <c r="DG208" i="1" a="1"/>
  <c r="DG208" i="1" s="1"/>
  <c r="DG123" i="1" a="1"/>
  <c r="DG123" i="1" s="1"/>
  <c r="DG78" i="1" a="1"/>
  <c r="DG78" i="1" s="1"/>
  <c r="DG249" i="1" a="1"/>
  <c r="DG249" i="1" s="1"/>
  <c r="DF78" i="1" a="1"/>
  <c r="DF78" i="1" s="1"/>
  <c r="DF249" i="1" a="1"/>
  <c r="DF249" i="1" s="1"/>
  <c r="DG111" i="1" a="1"/>
  <c r="DG111" i="1" s="1"/>
  <c r="DF111" i="1" a="1"/>
  <c r="DF111" i="1" s="1"/>
  <c r="DF269" i="1" a="1"/>
  <c r="DF269" i="1" s="1"/>
  <c r="DG269" i="1" a="1"/>
  <c r="DG269" i="1" s="1"/>
  <c r="DF266" i="1" a="1"/>
  <c r="DF266" i="1" s="1"/>
  <c r="DG266" i="1" a="1"/>
  <c r="DG266" i="1" s="1"/>
  <c r="DK266" i="1" s="1"/>
  <c r="DG159" i="1" a="1"/>
  <c r="DG159" i="1" s="1"/>
  <c r="DF159" i="1" a="1"/>
  <c r="DF159" i="1" s="1"/>
  <c r="DG205" i="1" a="1"/>
  <c r="DG205" i="1" s="1"/>
  <c r="DF205" i="1" a="1"/>
  <c r="DF205" i="1" s="1"/>
  <c r="DG171" i="1" a="1"/>
  <c r="DG171" i="1" s="1"/>
  <c r="DF171" i="1" a="1"/>
  <c r="DF171" i="1" s="1"/>
  <c r="DG201" i="1" a="1"/>
  <c r="DG201" i="1" s="1"/>
  <c r="DF201" i="1" a="1"/>
  <c r="DF201" i="1" s="1"/>
  <c r="DG48" i="1" a="1"/>
  <c r="DG48" i="1" s="1"/>
  <c r="DF48" i="1" a="1"/>
  <c r="DF48" i="1" s="1"/>
  <c r="DG155" i="1" a="1"/>
  <c r="DG155" i="1" s="1"/>
  <c r="DF155" i="1" a="1"/>
  <c r="DF155" i="1" s="1"/>
  <c r="DF180" i="1" a="1"/>
  <c r="DF180" i="1" s="1"/>
  <c r="DG180" i="1" a="1"/>
  <c r="DG180" i="1" s="1"/>
  <c r="DG197" i="1" a="1"/>
  <c r="DG197" i="1" s="1"/>
  <c r="DF197" i="1" a="1"/>
  <c r="DF197" i="1" s="1"/>
  <c r="DG55" i="1" a="1"/>
  <c r="DG55" i="1" s="1"/>
  <c r="DF55" i="1" a="1"/>
  <c r="DF55" i="1" s="1"/>
  <c r="DG46" i="1" a="1"/>
  <c r="DG46" i="1" s="1"/>
  <c r="DF46" i="1" a="1"/>
  <c r="DF46" i="1" s="1"/>
  <c r="DF220" i="1" a="1"/>
  <c r="DF220" i="1" s="1"/>
  <c r="DG220" i="1" a="1"/>
  <c r="DG220" i="1" s="1"/>
  <c r="DG23" i="1" a="1"/>
  <c r="DG23" i="1" s="1"/>
  <c r="DF23" i="1" a="1"/>
  <c r="DF23" i="1" s="1"/>
  <c r="DG238" i="1" a="1"/>
  <c r="DG238" i="1" s="1"/>
  <c r="DF238" i="1" a="1"/>
  <c r="DF238" i="1" s="1"/>
  <c r="DF228" i="1" a="1"/>
  <c r="DF228" i="1" s="1"/>
  <c r="DG228" i="1" a="1"/>
  <c r="DG228" i="1" s="1"/>
  <c r="DF98" i="1" a="1"/>
  <c r="DF98" i="1" s="1"/>
  <c r="DG98" i="1" a="1"/>
  <c r="DG98" i="1" s="1"/>
  <c r="DF45" i="1" a="1"/>
  <c r="DF45" i="1" s="1"/>
  <c r="DG45" i="1" a="1"/>
  <c r="DG45" i="1" s="1"/>
  <c r="DF58" i="1" a="1"/>
  <c r="DF58" i="1" s="1"/>
  <c r="DG58" i="1" a="1"/>
  <c r="DG58" i="1" s="1"/>
  <c r="DG144" i="1" a="1"/>
  <c r="DG144" i="1" s="1"/>
  <c r="DF144" i="1" a="1"/>
  <c r="DF144" i="1" s="1"/>
  <c r="DG87" i="1" a="1"/>
  <c r="DG87" i="1" s="1"/>
  <c r="DF87" i="1" a="1"/>
  <c r="DF87" i="1" s="1"/>
  <c r="DG229" i="1" a="1"/>
  <c r="DG229" i="1" s="1"/>
  <c r="DF229" i="1" a="1"/>
  <c r="DF229" i="1" s="1"/>
  <c r="DF237" i="1" a="1"/>
  <c r="DF237" i="1" s="1"/>
  <c r="DG237" i="1" a="1"/>
  <c r="DG237" i="1" s="1"/>
  <c r="DF255" i="1" a="1"/>
  <c r="DF255" i="1" s="1"/>
  <c r="DG255" i="1" a="1"/>
  <c r="DG255" i="1" s="1"/>
  <c r="DG207" i="1" a="1"/>
  <c r="DG207" i="1" s="1"/>
  <c r="DF207" i="1" a="1"/>
  <c r="DF207" i="1" s="1"/>
  <c r="DF185" i="1" a="1"/>
  <c r="DF185" i="1" s="1"/>
  <c r="DG185" i="1" a="1"/>
  <c r="DG185" i="1" s="1"/>
  <c r="DF110" i="1" a="1"/>
  <c r="DF110" i="1" s="1"/>
  <c r="DG110" i="1" a="1"/>
  <c r="DG110" i="1" s="1"/>
  <c r="DG165" i="1" a="1"/>
  <c r="DG165" i="1" s="1"/>
  <c r="DF165" i="1" a="1"/>
  <c r="DF165" i="1" s="1"/>
  <c r="DF86" i="1" a="1"/>
  <c r="DF86" i="1" s="1"/>
  <c r="DG86" i="1" a="1"/>
  <c r="DG86" i="1" s="1"/>
  <c r="DF108" i="1" a="1"/>
  <c r="DF108" i="1" s="1"/>
  <c r="DG108" i="1" a="1"/>
  <c r="DG108" i="1" s="1"/>
  <c r="DF218" i="1" a="1"/>
  <c r="DF218" i="1" s="1"/>
  <c r="DG218" i="1" a="1"/>
  <c r="DG218" i="1" s="1"/>
  <c r="DG154" i="1" a="1"/>
  <c r="DG154" i="1" s="1"/>
  <c r="DF154" i="1" a="1"/>
  <c r="DF154" i="1" s="1"/>
  <c r="DF114" i="1" a="1"/>
  <c r="DF114" i="1" s="1"/>
  <c r="DG114" i="1" a="1"/>
  <c r="DG114" i="1" s="1"/>
  <c r="DG258" i="1" a="1"/>
  <c r="DG258" i="1" s="1"/>
  <c r="DF258" i="1" a="1"/>
  <c r="DF258" i="1" s="1"/>
  <c r="DF43" i="1" a="1"/>
  <c r="DF43" i="1" s="1"/>
  <c r="DG43" i="1" a="1"/>
  <c r="DG43" i="1" s="1"/>
  <c r="DF222" i="1" a="1"/>
  <c r="DF222" i="1" s="1"/>
  <c r="DG222" i="1" a="1"/>
  <c r="DG222" i="1" s="1"/>
  <c r="DG223" i="1" a="1"/>
  <c r="DG223" i="1" s="1"/>
  <c r="DF223" i="1" a="1"/>
  <c r="DF223" i="1" s="1"/>
  <c r="DF40" i="1" a="1"/>
  <c r="DF40" i="1" s="1"/>
  <c r="DG40" i="1" a="1"/>
  <c r="DG40" i="1" s="1"/>
  <c r="DF202" i="1" a="1"/>
  <c r="DF202" i="1" s="1"/>
  <c r="DG202" i="1" a="1"/>
  <c r="DG202" i="1" s="1"/>
  <c r="DG128" i="1" a="1"/>
  <c r="DG128" i="1" s="1"/>
  <c r="DF128" i="1" a="1"/>
  <c r="DF128" i="1" s="1"/>
  <c r="DF182" i="1" a="1"/>
  <c r="DF182" i="1" s="1"/>
  <c r="DG182" i="1" a="1"/>
  <c r="DG182" i="1" s="1"/>
  <c r="DF106" i="1" a="1"/>
  <c r="DF106" i="1" s="1"/>
  <c r="DG106" i="1" a="1"/>
  <c r="DG106" i="1" s="1"/>
  <c r="DF67" i="1" a="1"/>
  <c r="DF67" i="1" s="1"/>
  <c r="DG67" i="1" a="1"/>
  <c r="DG67" i="1" s="1"/>
  <c r="DF56" i="1" a="1"/>
  <c r="DF56" i="1" s="1"/>
  <c r="DG56" i="1" a="1"/>
  <c r="DG56" i="1" s="1"/>
  <c r="DF118" i="1" a="1"/>
  <c r="DF118" i="1" s="1"/>
  <c r="DG118" i="1" a="1"/>
  <c r="DG118" i="1" s="1"/>
  <c r="DF8" i="1" a="1"/>
  <c r="DF8" i="1" s="1"/>
  <c r="DG8" i="1" a="1"/>
  <c r="DG8" i="1" s="1"/>
  <c r="DF31" i="1" a="1"/>
  <c r="DF31" i="1" s="1"/>
  <c r="DG31" i="1" a="1"/>
  <c r="DG31" i="1" s="1"/>
  <c r="DF101" i="1" a="1"/>
  <c r="DF101" i="1" s="1"/>
  <c r="DG101" i="1" a="1"/>
  <c r="DG101" i="1" s="1"/>
  <c r="DF245" i="1" a="1"/>
  <c r="DF245" i="1" s="1"/>
  <c r="DG245" i="1" a="1"/>
  <c r="DG245" i="1" s="1"/>
  <c r="DF11" i="1" a="1"/>
  <c r="DF11" i="1" s="1"/>
  <c r="DG11" i="1" a="1"/>
  <c r="DG11" i="1" s="1"/>
  <c r="DG177" i="1" a="1"/>
  <c r="DG177" i="1" s="1"/>
  <c r="DF177" i="1" a="1"/>
  <c r="DF177" i="1" s="1"/>
  <c r="DF47" i="1" a="1"/>
  <c r="DF47" i="1" s="1"/>
  <c r="DG47" i="1" a="1"/>
  <c r="DG47" i="1" s="1"/>
  <c r="DF248" i="1" a="1"/>
  <c r="DF248" i="1" s="1"/>
  <c r="DG248" i="1" a="1"/>
  <c r="DG248" i="1" s="1"/>
  <c r="DF230" i="1" a="1"/>
  <c r="DF230" i="1" s="1"/>
  <c r="DG230" i="1" a="1"/>
  <c r="DG230" i="1" s="1"/>
  <c r="DF54" i="1" a="1"/>
  <c r="DF54" i="1" s="1"/>
  <c r="DG54" i="1" a="1"/>
  <c r="DG54" i="1" s="1"/>
  <c r="DF263" i="1" a="1"/>
  <c r="DF263" i="1" s="1"/>
  <c r="DG263" i="1" a="1"/>
  <c r="DG263" i="1" s="1"/>
  <c r="DF256" i="1" a="1"/>
  <c r="DF256" i="1" s="1"/>
  <c r="DG256" i="1" a="1"/>
  <c r="DG256" i="1" s="1"/>
  <c r="DF63" i="1" a="1"/>
  <c r="DF63" i="1" s="1"/>
  <c r="DG63" i="1" a="1"/>
  <c r="DG63" i="1" s="1"/>
  <c r="DF129" i="1" a="1"/>
  <c r="DF129" i="1" s="1"/>
  <c r="DG129" i="1" a="1"/>
  <c r="DG129" i="1" s="1"/>
  <c r="DF50" i="1" a="1"/>
  <c r="DF50" i="1" s="1"/>
  <c r="DG50" i="1" a="1"/>
  <c r="DG50" i="1" s="1"/>
  <c r="DF88" i="1" a="1"/>
  <c r="DF88" i="1" s="1"/>
  <c r="DG88" i="1" a="1"/>
  <c r="DG88" i="1" s="1"/>
  <c r="DF192" i="1" a="1"/>
  <c r="DF192" i="1" s="1"/>
  <c r="DG192" i="1" a="1"/>
  <c r="DG192" i="1" s="1"/>
  <c r="DF79" i="1" a="1"/>
  <c r="DF79" i="1" s="1"/>
  <c r="DG79" i="1" a="1"/>
  <c r="DG79" i="1" s="1"/>
  <c r="DG16" i="1" a="1"/>
  <c r="DG16" i="1" s="1"/>
  <c r="DF16" i="1" a="1"/>
  <c r="DF16" i="1" s="1"/>
  <c r="DG18" i="1" a="1"/>
  <c r="DG18" i="1" s="1"/>
  <c r="DF18" i="1" a="1"/>
  <c r="DF18" i="1" s="1"/>
  <c r="DF77" i="1" a="1"/>
  <c r="DF77" i="1" s="1"/>
  <c r="DG77" i="1" a="1"/>
  <c r="DG77" i="1" s="1"/>
  <c r="DG69" i="1" a="1"/>
  <c r="DG69" i="1" s="1"/>
  <c r="DF69" i="1" a="1"/>
  <c r="DF69" i="1" s="1"/>
  <c r="DF120" i="1" a="1"/>
  <c r="DF120" i="1" s="1"/>
  <c r="DG120" i="1" a="1"/>
  <c r="DG120" i="1" s="1"/>
  <c r="DF243" i="1" a="1"/>
  <c r="DF243" i="1" s="1"/>
  <c r="DG243" i="1" a="1"/>
  <c r="DG243" i="1" s="1"/>
  <c r="DF147" i="1" a="1"/>
  <c r="DF147" i="1" s="1"/>
  <c r="DG147" i="1" a="1"/>
  <c r="DG147" i="1" s="1"/>
  <c r="DF122" i="1" a="1"/>
  <c r="DF122" i="1" s="1"/>
  <c r="DG122" i="1" a="1"/>
  <c r="DG122" i="1" s="1"/>
  <c r="DF81" i="1" a="1"/>
  <c r="DF81" i="1" s="1"/>
  <c r="DG81" i="1" a="1"/>
  <c r="DG81" i="1" s="1"/>
  <c r="DF104" i="1" a="1"/>
  <c r="DF104" i="1" s="1"/>
  <c r="DG104" i="1" a="1"/>
  <c r="DG104" i="1" s="1"/>
  <c r="DG191" i="1" a="1"/>
  <c r="DG191" i="1" s="1"/>
  <c r="DF191" i="1" a="1"/>
  <c r="DF191" i="1" s="1"/>
  <c r="DF24" i="1" a="1"/>
  <c r="DF24" i="1" s="1"/>
  <c r="DJ24" i="1" s="1"/>
  <c r="DG24" i="1" a="1"/>
  <c r="DG24" i="1" s="1"/>
  <c r="DG268" i="1" a="1"/>
  <c r="DG268" i="1" s="1"/>
  <c r="DF268" i="1" a="1"/>
  <c r="DF268" i="1" s="1"/>
  <c r="DF143" i="1" a="1"/>
  <c r="DF143" i="1" s="1"/>
  <c r="DG143" i="1" a="1"/>
  <c r="DG143" i="1" s="1"/>
  <c r="DF99" i="1" a="1"/>
  <c r="DF99" i="1" s="1"/>
  <c r="DG99" i="1" a="1"/>
  <c r="DG99" i="1" s="1"/>
  <c r="DF264" i="1" a="1"/>
  <c r="DF264" i="1" s="1"/>
  <c r="DG264" i="1" a="1"/>
  <c r="DG264" i="1" s="1"/>
  <c r="DG195" i="1" a="1"/>
  <c r="DG195" i="1" s="1"/>
  <c r="DF195" i="1" a="1"/>
  <c r="DF195" i="1" s="1"/>
  <c r="DF42" i="1" a="1"/>
  <c r="DF42" i="1" s="1"/>
  <c r="DG42" i="1" a="1"/>
  <c r="DG42" i="1" s="1"/>
  <c r="DF251" i="1" a="1"/>
  <c r="DF251" i="1" s="1"/>
  <c r="DG251" i="1" a="1"/>
  <c r="DG251" i="1" s="1"/>
  <c r="DF65" i="1" a="1"/>
  <c r="DF65" i="1" s="1"/>
  <c r="DG65" i="1" a="1"/>
  <c r="DG65" i="1" s="1"/>
  <c r="DF174" i="1" a="1"/>
  <c r="DF174" i="1" s="1"/>
  <c r="DG174" i="1" a="1"/>
  <c r="DG174" i="1" s="1"/>
  <c r="DF137" i="1" a="1"/>
  <c r="DF137" i="1" s="1"/>
  <c r="DG137" i="1" a="1"/>
  <c r="DG137" i="1" s="1"/>
  <c r="DF172" i="1" a="1"/>
  <c r="DF172" i="1" s="1"/>
  <c r="DG172" i="1" a="1"/>
  <c r="DG172" i="1" s="1"/>
  <c r="DG203" i="1" a="1"/>
  <c r="DG203" i="1" s="1"/>
  <c r="DF203" i="1" a="1"/>
  <c r="DF203" i="1" s="1"/>
  <c r="DG80" i="1" a="1"/>
  <c r="DG80" i="1" s="1"/>
  <c r="DF80" i="1" a="1"/>
  <c r="DF80" i="1" s="1"/>
  <c r="DG262" i="1" a="1"/>
  <c r="DG262" i="1" s="1"/>
  <c r="DF262" i="1" a="1"/>
  <c r="DF262" i="1" s="1"/>
  <c r="DF194" i="1" a="1"/>
  <c r="DF194" i="1" s="1"/>
  <c r="DG194" i="1" a="1"/>
  <c r="DG194" i="1" s="1"/>
  <c r="DG169" i="1" a="1"/>
  <c r="DG169" i="1" s="1"/>
  <c r="DF169" i="1" a="1"/>
  <c r="DF169" i="1" s="1"/>
  <c r="DG227" i="1" a="1"/>
  <c r="DG227" i="1" s="1"/>
  <c r="DF227" i="1" a="1"/>
  <c r="DF227" i="1" s="1"/>
  <c r="DF82" i="1" a="1"/>
  <c r="DF82" i="1" s="1"/>
  <c r="DG82" i="1" a="1"/>
  <c r="DG82" i="1" s="1"/>
  <c r="DF37" i="1" a="1"/>
  <c r="DF37" i="1" s="1"/>
  <c r="DG37" i="1" a="1"/>
  <c r="DG37" i="1" s="1"/>
  <c r="DF10" i="1" a="1"/>
  <c r="DF10" i="1" s="1"/>
  <c r="DG10" i="1" a="1"/>
  <c r="DG10" i="1" s="1"/>
  <c r="DG41" i="1" a="1"/>
  <c r="DG41" i="1" s="1"/>
  <c r="DF41" i="1" a="1"/>
  <c r="DF41" i="1" s="1"/>
  <c r="DF66" i="1" a="1"/>
  <c r="DF66" i="1" s="1"/>
  <c r="DG66" i="1" a="1"/>
  <c r="DG66" i="1" s="1"/>
  <c r="DF109" i="1" a="1"/>
  <c r="DF109" i="1" s="1"/>
  <c r="DG109" i="1" a="1"/>
  <c r="DG109" i="1" s="1"/>
  <c r="DF226" i="1" a="1"/>
  <c r="DF226" i="1" s="1"/>
  <c r="DG226" i="1" a="1"/>
  <c r="DG226" i="1" s="1"/>
  <c r="DF89" i="1" a="1"/>
  <c r="DF89" i="1" s="1"/>
  <c r="DG89" i="1" a="1"/>
  <c r="DG89" i="1" s="1"/>
  <c r="DG211" i="1" a="1"/>
  <c r="DG211" i="1" s="1"/>
  <c r="DF211" i="1" a="1"/>
  <c r="DF211" i="1" s="1"/>
  <c r="DG242" i="1" a="1"/>
  <c r="DG242" i="1" s="1"/>
  <c r="DF242" i="1" a="1"/>
  <c r="DF242" i="1" s="1"/>
  <c r="DF36" i="1" a="1"/>
  <c r="DF36" i="1" s="1"/>
  <c r="DG36" i="1" a="1"/>
  <c r="DG36" i="1" s="1"/>
  <c r="DG141" i="1" a="1"/>
  <c r="DG141" i="1" s="1"/>
  <c r="DF141" i="1" a="1"/>
  <c r="DF141" i="1" s="1"/>
  <c r="DF35" i="1" a="1"/>
  <c r="DF35" i="1" s="1"/>
  <c r="DG35" i="1" a="1"/>
  <c r="DG35" i="1" s="1"/>
  <c r="DF72" i="1" a="1"/>
  <c r="DF72" i="1" s="1"/>
  <c r="DG72" i="1" a="1"/>
  <c r="DG72" i="1" s="1"/>
  <c r="DF105" i="1" a="1"/>
  <c r="DF105" i="1" s="1"/>
  <c r="DG105" i="1" a="1"/>
  <c r="DG105" i="1" s="1"/>
  <c r="DF152" i="1" a="1"/>
  <c r="DF152" i="1" s="1"/>
  <c r="DG152" i="1" a="1"/>
  <c r="DG152" i="1" s="1"/>
  <c r="DF148" i="1" a="1"/>
  <c r="DF148" i="1" s="1"/>
  <c r="DG148" i="1" a="1"/>
  <c r="DG148" i="1" s="1"/>
  <c r="DF212" i="1" a="1"/>
  <c r="DF212" i="1" s="1"/>
  <c r="DG212" i="1" a="1"/>
  <c r="DG212" i="1" s="1"/>
  <c r="DF247" i="1" a="1"/>
  <c r="DF247" i="1" s="1"/>
  <c r="DG247" i="1" a="1"/>
  <c r="DG247" i="1" s="1"/>
  <c r="DF178" i="1" a="1"/>
  <c r="DF178" i="1" s="1"/>
  <c r="DG178" i="1" a="1"/>
  <c r="DG178" i="1" s="1"/>
  <c r="DG125" i="1" a="1"/>
  <c r="DG125" i="1" s="1"/>
  <c r="DF125" i="1" a="1"/>
  <c r="DF125" i="1" s="1"/>
  <c r="DF236" i="1" a="1"/>
  <c r="DF236" i="1" s="1"/>
  <c r="DG236" i="1" a="1"/>
  <c r="DG236" i="1" s="1"/>
  <c r="DF160" i="1" a="1"/>
  <c r="DF160" i="1" s="1"/>
  <c r="DG160" i="1" a="1"/>
  <c r="DG160" i="1" s="1"/>
  <c r="DF210" i="1" a="1"/>
  <c r="DF210" i="1" s="1"/>
  <c r="DG210" i="1" a="1"/>
  <c r="DG210" i="1" s="1"/>
  <c r="DF6" i="1" a="1"/>
  <c r="DF6" i="1" s="1"/>
  <c r="DG6" i="1" a="1"/>
  <c r="DG6" i="1" s="1"/>
  <c r="DF53" i="1" a="1"/>
  <c r="DF53" i="1" s="1"/>
  <c r="DG53" i="1" a="1"/>
  <c r="DG53" i="1" s="1"/>
  <c r="DF206" i="1" a="1"/>
  <c r="DF206" i="1" s="1"/>
  <c r="DG206" i="1" a="1"/>
  <c r="DG206" i="1" s="1"/>
  <c r="DF244" i="1" a="1"/>
  <c r="DF244" i="1" s="1"/>
  <c r="DG244" i="1" a="1"/>
  <c r="DG244" i="1" s="1"/>
  <c r="DF60" i="1" a="1"/>
  <c r="DF60" i="1" s="1"/>
  <c r="DG60" i="1" a="1"/>
  <c r="DG60" i="1" s="1"/>
  <c r="DG190" i="1" a="1"/>
  <c r="DG190" i="1" s="1"/>
  <c r="DF190" i="1" a="1"/>
  <c r="DF190" i="1" s="1"/>
  <c r="DF216" i="1" a="1"/>
  <c r="DF216" i="1" s="1"/>
  <c r="DG216" i="1" a="1"/>
  <c r="DG216" i="1" s="1"/>
  <c r="DF200" i="1" a="1"/>
  <c r="DF200" i="1" s="1"/>
  <c r="DG200" i="1" a="1"/>
  <c r="DG200" i="1" s="1"/>
  <c r="DF259" i="1" a="1"/>
  <c r="DF259" i="1" s="1"/>
  <c r="DG259" i="1" a="1"/>
  <c r="DG259" i="1" s="1"/>
  <c r="DF115" i="1" a="1"/>
  <c r="DF115" i="1" s="1"/>
  <c r="DG115" i="1" a="1"/>
  <c r="DG115" i="1" s="1"/>
  <c r="DF33" i="1" a="1"/>
  <c r="DF33" i="1" s="1"/>
  <c r="DG33" i="1" a="1"/>
  <c r="DG33" i="1" s="1"/>
  <c r="DG62" i="1" a="1"/>
  <c r="DG62" i="1" s="1"/>
  <c r="DF62" i="1" a="1"/>
  <c r="DF62" i="1" s="1"/>
  <c r="DG39" i="1" a="1"/>
  <c r="DG39" i="1" s="1"/>
  <c r="DF39" i="1" a="1"/>
  <c r="DF39" i="1" s="1"/>
  <c r="DG181" i="1" a="1"/>
  <c r="DG181" i="1" s="1"/>
  <c r="DF181" i="1" a="1"/>
  <c r="DF181" i="1" s="1"/>
  <c r="DF103" i="1" a="1"/>
  <c r="DF103" i="1" s="1"/>
  <c r="DG103" i="1" a="1"/>
  <c r="DG103" i="1" s="1"/>
  <c r="DG189" i="1" a="1"/>
  <c r="DG189" i="1" s="1"/>
  <c r="DF189" i="1" a="1"/>
  <c r="DF189" i="1" s="1"/>
  <c r="DG250" i="1" a="1"/>
  <c r="DG250" i="1" s="1"/>
  <c r="DF250" i="1" a="1"/>
  <c r="DF250" i="1" s="1"/>
  <c r="DF176" i="1" a="1"/>
  <c r="DF176" i="1" s="1"/>
  <c r="DG176" i="1" a="1"/>
  <c r="DG176" i="1" s="1"/>
  <c r="DF150" i="1" a="1"/>
  <c r="DF150" i="1" s="1"/>
  <c r="DG150" i="1" a="1"/>
  <c r="DG150" i="1" s="1"/>
  <c r="DF34" i="1" a="1"/>
  <c r="DF34" i="1" s="1"/>
  <c r="DG34" i="1" a="1"/>
  <c r="DG34" i="1" s="1"/>
  <c r="DF233" i="1" a="1"/>
  <c r="DF233" i="1" s="1"/>
  <c r="DG233" i="1" a="1"/>
  <c r="DG233" i="1" s="1"/>
  <c r="DG246" i="1" a="1"/>
  <c r="DG246" i="1" s="1"/>
  <c r="DF246" i="1" a="1"/>
  <c r="DF246" i="1" s="1"/>
  <c r="DF260" i="1" a="1"/>
  <c r="DF260" i="1" s="1"/>
  <c r="DG260" i="1" a="1"/>
  <c r="DG260" i="1" s="1"/>
  <c r="DF183" i="1" a="1"/>
  <c r="DF183" i="1" s="1"/>
  <c r="DG183" i="1" a="1"/>
  <c r="DG183" i="1" s="1"/>
  <c r="DF15" i="1" a="1"/>
  <c r="DF15" i="1" s="1"/>
  <c r="DG15" i="1" a="1"/>
  <c r="DG15" i="1" s="1"/>
  <c r="DF214" i="1" a="1"/>
  <c r="DF214" i="1" s="1"/>
  <c r="DG214" i="1" a="1"/>
  <c r="DG214" i="1" s="1"/>
  <c r="DF240" i="1" a="1"/>
  <c r="DF240" i="1" s="1"/>
  <c r="DG240" i="1" a="1"/>
  <c r="DG240" i="1" s="1"/>
  <c r="DF121" i="1" a="1"/>
  <c r="DF121" i="1" s="1"/>
  <c r="DG121" i="1" a="1"/>
  <c r="DG121" i="1" s="1"/>
  <c r="DG151" i="1" a="1"/>
  <c r="DG151" i="1" s="1"/>
  <c r="DF151" i="1" a="1"/>
  <c r="DF151" i="1" s="1"/>
  <c r="DF90" i="1" a="1"/>
  <c r="DF90" i="1" s="1"/>
  <c r="DG90" i="1" a="1"/>
  <c r="DG90" i="1" s="1"/>
  <c r="DF239" i="1" a="1"/>
  <c r="DF239" i="1" s="1"/>
  <c r="DG239" i="1" a="1"/>
  <c r="DG239" i="1" s="1"/>
  <c r="DF146" i="1" a="1"/>
  <c r="DF146" i="1" s="1"/>
  <c r="DG146" i="1" a="1"/>
  <c r="DG146" i="1" s="1"/>
  <c r="DF27" i="1" a="1"/>
  <c r="DF27" i="1" s="1"/>
  <c r="DG27" i="1" a="1"/>
  <c r="DG27" i="1" s="1"/>
  <c r="DF188" i="1" a="1"/>
  <c r="DF188" i="1" s="1"/>
  <c r="DG188" i="1" a="1"/>
  <c r="DG188" i="1" s="1"/>
  <c r="DF92" i="1" a="1"/>
  <c r="DF92" i="1" s="1"/>
  <c r="DG92" i="1" a="1"/>
  <c r="DG92" i="1" s="1"/>
  <c r="DF135" i="1" a="1"/>
  <c r="DF135" i="1" s="1"/>
  <c r="DG135" i="1" a="1"/>
  <c r="DG135" i="1" s="1"/>
  <c r="DF52" i="1" a="1"/>
  <c r="DF52" i="1" s="1"/>
  <c r="DG52" i="1" a="1"/>
  <c r="DG52" i="1" s="1"/>
  <c r="DG57" i="1" a="1"/>
  <c r="DG57" i="1" s="1"/>
  <c r="DF57" i="1" a="1"/>
  <c r="DF57" i="1" s="1"/>
  <c r="DF85" i="1" a="1"/>
  <c r="DF85" i="1" s="1"/>
  <c r="DG85" i="1" a="1"/>
  <c r="DG85" i="1" s="1"/>
  <c r="DF91" i="1" a="1"/>
  <c r="DF91" i="1" s="1"/>
  <c r="DG91" i="1" a="1"/>
  <c r="DG91" i="1" s="1"/>
  <c r="DF153" i="1" a="1"/>
  <c r="DF153" i="1" s="1"/>
  <c r="DG153" i="1" a="1"/>
  <c r="DG153" i="1" s="1"/>
  <c r="DF68" i="1" a="1"/>
  <c r="DF68" i="1" s="1"/>
  <c r="DG68" i="1" a="1"/>
  <c r="DG68" i="1" s="1"/>
  <c r="DG73" i="1" a="1"/>
  <c r="DG73" i="1" s="1"/>
  <c r="DF73" i="1" a="1"/>
  <c r="DF73" i="1" s="1"/>
  <c r="DF19" i="1" a="1"/>
  <c r="DF19" i="1" s="1"/>
  <c r="DG19" i="1" a="1"/>
  <c r="DG19" i="1" s="1"/>
  <c r="DG162" i="1" a="1"/>
  <c r="DG162" i="1" s="1"/>
  <c r="DF162" i="1" a="1"/>
  <c r="DF162" i="1" s="1"/>
  <c r="DG167" i="1" a="1"/>
  <c r="DG167" i="1" s="1"/>
  <c r="DF167" i="1" a="1"/>
  <c r="DF167" i="1" s="1"/>
  <c r="DG163" i="1" a="1"/>
  <c r="DG163" i="1" s="1"/>
  <c r="DF163" i="1" a="1"/>
  <c r="DF163" i="1" s="1"/>
  <c r="DG136" i="1" a="1"/>
  <c r="DG136" i="1" s="1"/>
  <c r="DF136" i="1" a="1"/>
  <c r="DF136" i="1" s="1"/>
  <c r="DF168" i="1" a="1"/>
  <c r="DF168" i="1" s="1"/>
  <c r="DG168" i="1" a="1"/>
  <c r="DG168" i="1" s="1"/>
  <c r="DF140" i="1" a="1"/>
  <c r="DF140" i="1" s="1"/>
  <c r="DG140" i="1" a="1"/>
  <c r="DG140" i="1" s="1"/>
  <c r="DG157" i="1" a="1"/>
  <c r="DG157" i="1" s="1"/>
  <c r="DF157" i="1" a="1"/>
  <c r="DF157" i="1" s="1"/>
  <c r="DF196" i="1" a="1"/>
  <c r="DF196" i="1" s="1"/>
  <c r="DG196" i="1" a="1"/>
  <c r="DG196" i="1" s="1"/>
  <c r="DF164" i="1" a="1"/>
  <c r="DF164" i="1" s="1"/>
  <c r="DG164" i="1" a="1"/>
  <c r="DG164" i="1" s="1"/>
  <c r="DF198" i="1" a="1"/>
  <c r="DF198" i="1" s="1"/>
  <c r="DG198" i="1" a="1"/>
  <c r="DG198" i="1" s="1"/>
  <c r="DG199" i="1" a="1"/>
  <c r="DG199" i="1" s="1"/>
  <c r="DF199" i="1" a="1"/>
  <c r="DF199" i="1" s="1"/>
  <c r="DF22" i="1" a="1"/>
  <c r="DF22" i="1" s="1"/>
  <c r="DG22" i="1" a="1"/>
  <c r="DG22" i="1" s="1"/>
  <c r="DF61" i="1" a="1"/>
  <c r="DF61" i="1" s="1"/>
  <c r="DG61" i="1" a="1"/>
  <c r="DG61" i="1" s="1"/>
  <c r="DF130" i="1" a="1"/>
  <c r="DF130" i="1" s="1"/>
  <c r="DG130" i="1" a="1"/>
  <c r="DG130" i="1" s="1"/>
  <c r="DG32" i="1" a="1"/>
  <c r="DG32" i="1" s="1"/>
  <c r="DF32" i="1" a="1"/>
  <c r="DF32" i="1" s="1"/>
  <c r="DG30" i="1" a="1"/>
  <c r="DG30" i="1" s="1"/>
  <c r="DF30" i="1" a="1"/>
  <c r="DF30" i="1" s="1"/>
  <c r="DF29" i="1" a="1"/>
  <c r="DF29" i="1" s="1"/>
  <c r="DG29" i="1" a="1"/>
  <c r="DG29" i="1" s="1"/>
  <c r="DF20" i="1" a="1"/>
  <c r="DF20" i="1" s="1"/>
  <c r="DG20" i="1" a="1"/>
  <c r="DG20" i="1" s="1"/>
  <c r="DF241" i="1" a="1"/>
  <c r="DF241" i="1" s="1"/>
  <c r="DG241" i="1" a="1"/>
  <c r="DG241" i="1" s="1"/>
  <c r="DG9" i="1" a="1"/>
  <c r="DG9" i="1" s="1"/>
  <c r="DF9" i="1" a="1"/>
  <c r="DF9" i="1" s="1"/>
  <c r="DF138" i="1" a="1"/>
  <c r="DF138" i="1" s="1"/>
  <c r="DG138" i="1" a="1"/>
  <c r="DG138" i="1" s="1"/>
  <c r="DF170" i="1" a="1"/>
  <c r="DF170" i="1" s="1"/>
  <c r="DG170" i="1" a="1"/>
  <c r="DG170" i="1" s="1"/>
  <c r="DG161" i="1" a="1"/>
  <c r="DG161" i="1" s="1"/>
  <c r="DF161" i="1" a="1"/>
  <c r="DF161" i="1" s="1"/>
  <c r="DF76" i="1" a="1"/>
  <c r="DF76" i="1" s="1"/>
  <c r="DG76" i="1" a="1"/>
  <c r="DG76" i="1" s="1"/>
  <c r="DF235" i="1" a="1"/>
  <c r="DF235" i="1" s="1"/>
  <c r="DG235" i="1" a="1"/>
  <c r="DG235" i="1" s="1"/>
  <c r="DG25" i="1" a="1"/>
  <c r="DG25" i="1" s="1"/>
  <c r="DF25" i="1" a="1"/>
  <c r="DF25" i="1" s="1"/>
  <c r="DF84" i="1" a="1"/>
  <c r="DF84" i="1" s="1"/>
  <c r="DG84" i="1" a="1"/>
  <c r="DG84" i="1" s="1"/>
  <c r="DF100" i="1" a="1"/>
  <c r="DF100" i="1" s="1"/>
  <c r="DG100" i="1" a="1"/>
  <c r="DG100" i="1" s="1"/>
  <c r="DG265" i="1" a="1"/>
  <c r="DG265" i="1" s="1"/>
  <c r="DF265" i="1" a="1"/>
  <c r="DF265" i="1" s="1"/>
  <c r="DF253" i="1" a="1"/>
  <c r="DF253" i="1" s="1"/>
  <c r="DG253" i="1" a="1"/>
  <c r="DG253" i="1" s="1"/>
  <c r="DG219" i="1" a="1"/>
  <c r="DG219" i="1" s="1"/>
  <c r="DF219" i="1" a="1"/>
  <c r="DF219" i="1" s="1"/>
  <c r="DF38" i="1" a="1"/>
  <c r="DF38" i="1" s="1"/>
  <c r="DG38" i="1" a="1"/>
  <c r="DG38" i="1" s="1"/>
  <c r="DF93" i="1" a="1"/>
  <c r="DF93" i="1" s="1"/>
  <c r="DG93" i="1" a="1"/>
  <c r="DG93" i="1" s="1"/>
  <c r="DF186" i="1" a="1"/>
  <c r="DF186" i="1" s="1"/>
  <c r="DG186" i="1" a="1"/>
  <c r="DG186" i="1" s="1"/>
  <c r="DF204" i="1" a="1"/>
  <c r="DF204" i="1" s="1"/>
  <c r="DG204" i="1" a="1"/>
  <c r="DG204" i="1" s="1"/>
  <c r="DF145" i="1" a="1"/>
  <c r="DF145" i="1" s="1"/>
  <c r="DG145" i="1" a="1"/>
  <c r="DG145" i="1" s="1"/>
  <c r="DF184" i="1" a="1"/>
  <c r="DF184" i="1" s="1"/>
  <c r="DG184" i="1" a="1"/>
  <c r="DG184" i="1" s="1"/>
  <c r="DF124" i="1" a="1"/>
  <c r="DF124" i="1" s="1"/>
  <c r="DG124" i="1" a="1"/>
  <c r="DG124" i="1" s="1"/>
  <c r="DF252" i="1" a="1"/>
  <c r="DF252" i="1" s="1"/>
  <c r="DG252" i="1" a="1"/>
  <c r="DG252" i="1" s="1"/>
  <c r="DF44" i="1" a="1"/>
  <c r="DF44" i="1" s="1"/>
  <c r="DG44" i="1" a="1"/>
  <c r="DG44" i="1" s="1"/>
  <c r="DF49" i="1" a="1"/>
  <c r="DF49" i="1" s="1"/>
  <c r="DG49" i="1" a="1"/>
  <c r="DG49" i="1" s="1"/>
  <c r="DF107" i="1" a="1"/>
  <c r="DF107" i="1" s="1"/>
  <c r="DG107" i="1" a="1"/>
  <c r="DG107" i="1" s="1"/>
  <c r="DG215" i="1" a="1"/>
  <c r="DG215" i="1" s="1"/>
  <c r="DF215" i="1" a="1"/>
  <c r="DF215" i="1" s="1"/>
  <c r="DG254" i="1" a="1"/>
  <c r="DG254" i="1" s="1"/>
  <c r="DF254" i="1" a="1"/>
  <c r="DF254" i="1" s="1"/>
  <c r="DF70" i="1" a="1"/>
  <c r="DF70" i="1" s="1"/>
  <c r="DG70" i="1" a="1"/>
  <c r="DG70" i="1" s="1"/>
  <c r="DG7" i="1" a="1"/>
  <c r="DG7" i="1" s="1"/>
  <c r="DF7" i="1" a="1"/>
  <c r="DF7" i="1" s="1"/>
  <c r="DF21" i="1" a="1"/>
  <c r="DF21" i="1" s="1"/>
  <c r="DG21" i="1" a="1"/>
  <c r="DG21" i="1" s="1"/>
  <c r="DF113" i="1" a="1"/>
  <c r="DF113" i="1" s="1"/>
  <c r="DG113" i="1" a="1"/>
  <c r="DG113" i="1" s="1"/>
  <c r="DF26" i="1" a="1"/>
  <c r="DF26" i="1" s="1"/>
  <c r="DG26" i="1" a="1"/>
  <c r="DG26" i="1" s="1"/>
  <c r="DF234" i="1" a="1"/>
  <c r="DF234" i="1" s="1"/>
  <c r="DG234" i="1" a="1"/>
  <c r="DG234" i="1" s="1"/>
  <c r="DG193" i="1" a="1"/>
  <c r="DG193" i="1" s="1"/>
  <c r="DF193" i="1" a="1"/>
  <c r="DF193" i="1" s="1"/>
  <c r="DF139" i="1" a="1"/>
  <c r="DF139" i="1" s="1"/>
  <c r="DG139" i="1" a="1"/>
  <c r="DG139" i="1" s="1"/>
  <c r="DF51" i="1" a="1"/>
  <c r="DF51" i="1" s="1"/>
  <c r="DG51" i="1" a="1"/>
  <c r="DG51" i="1" s="1"/>
  <c r="DG225" i="1" a="1"/>
  <c r="DG225" i="1" s="1"/>
  <c r="DF225" i="1" a="1"/>
  <c r="DF225" i="1" s="1"/>
  <c r="DG149" i="1" a="1"/>
  <c r="DG149" i="1" s="1"/>
  <c r="DF149" i="1" a="1"/>
  <c r="DF149" i="1" s="1"/>
  <c r="DG71" i="1" a="1"/>
  <c r="DG71" i="1" s="1"/>
  <c r="DF71" i="1" a="1"/>
  <c r="DF71" i="1" s="1"/>
  <c r="DF224" i="1" a="1"/>
  <c r="DF224" i="1" s="1"/>
  <c r="DG224" i="1" a="1"/>
  <c r="DG224" i="1" s="1"/>
  <c r="DF13" i="1" a="1"/>
  <c r="DF13" i="1" s="1"/>
  <c r="DG13" i="1" a="1"/>
  <c r="DG13" i="1" s="1"/>
  <c r="DF97" i="1" a="1"/>
  <c r="DF97" i="1" s="1"/>
  <c r="DG97" i="1" a="1"/>
  <c r="DG97" i="1" s="1"/>
  <c r="DG173" i="1" a="1"/>
  <c r="DG173" i="1" s="1"/>
  <c r="DF173" i="1" a="1"/>
  <c r="DF173" i="1" s="1"/>
  <c r="DF83" i="1" a="1"/>
  <c r="DF83" i="1" s="1"/>
  <c r="DG83" i="1" a="1"/>
  <c r="DG83" i="1" s="1"/>
  <c r="DF231" i="1" a="1"/>
  <c r="DF231" i="1" s="1"/>
  <c r="DG231" i="1" a="1"/>
  <c r="DG231" i="1" s="1"/>
  <c r="DG117" i="1" a="1"/>
  <c r="DG117" i="1" s="1"/>
  <c r="DF117" i="1" a="1"/>
  <c r="DF117" i="1" s="1"/>
  <c r="DF131" i="1" a="1"/>
  <c r="DF131" i="1" s="1"/>
  <c r="DG131" i="1" a="1"/>
  <c r="DG131" i="1" s="1"/>
  <c r="DG133" i="1" a="1"/>
  <c r="DG133" i="1" s="1"/>
  <c r="DF133" i="1" a="1"/>
  <c r="DF133" i="1" s="1"/>
  <c r="DG221" i="1" a="1"/>
  <c r="DG221" i="1" s="1"/>
  <c r="DF221" i="1" a="1"/>
  <c r="DF221" i="1" s="1"/>
  <c r="DF270" i="1" a="1"/>
  <c r="DF270" i="1" s="1"/>
  <c r="DG270" i="1" a="1"/>
  <c r="DG270" i="1" s="1"/>
  <c r="DF96" i="1" a="1"/>
  <c r="DF96" i="1" s="1"/>
  <c r="DG96" i="1" a="1"/>
  <c r="DG96" i="1" s="1"/>
  <c r="DF132" i="1" a="1"/>
  <c r="DF132" i="1" s="1"/>
  <c r="DG132" i="1" a="1"/>
  <c r="DG132" i="1" s="1"/>
  <c r="DG232" i="1" a="1"/>
  <c r="DG232" i="1" s="1"/>
  <c r="DF232" i="1" a="1"/>
  <c r="DF232" i="1" s="1"/>
  <c r="DF142" i="1" a="1"/>
  <c r="DF142" i="1" s="1"/>
  <c r="DG142" i="1" a="1"/>
  <c r="DG142" i="1" s="1"/>
  <c r="DG175" i="1" a="1"/>
  <c r="DG175" i="1" s="1"/>
  <c r="DF175" i="1" a="1"/>
  <c r="DF175" i="1" s="1"/>
  <c r="DF119" i="1" a="1"/>
  <c r="DF119" i="1" s="1"/>
  <c r="DG119" i="1" a="1"/>
  <c r="DG119" i="1" s="1"/>
  <c r="DF59" i="1" a="1"/>
  <c r="DF59" i="1" s="1"/>
  <c r="DG59" i="1" a="1"/>
  <c r="DG59" i="1" s="1"/>
  <c r="DF17" i="1" a="1"/>
  <c r="DF17" i="1" s="1"/>
  <c r="DG17" i="1" a="1"/>
  <c r="DG17" i="1" s="1"/>
  <c r="DF116" i="1" a="1"/>
  <c r="DF116" i="1" s="1"/>
  <c r="DG116" i="1" a="1"/>
  <c r="DG116" i="1" s="1"/>
  <c r="DG187" i="1" a="1"/>
  <c r="DG187" i="1" s="1"/>
  <c r="DF187" i="1" a="1"/>
  <c r="DF187" i="1" s="1"/>
  <c r="DF95" i="1" a="1"/>
  <c r="DF95" i="1" s="1"/>
  <c r="DG95" i="1" a="1"/>
  <c r="DG95" i="1" s="1"/>
  <c r="DF179" i="1" a="1"/>
  <c r="DF179" i="1" s="1"/>
  <c r="DG179" i="1" a="1"/>
  <c r="DG179" i="1" s="1"/>
  <c r="DF102" i="1" a="1"/>
  <c r="DF102" i="1" s="1"/>
  <c r="DG102" i="1" a="1"/>
  <c r="DG102" i="1" s="1"/>
  <c r="DF75" i="1" a="1"/>
  <c r="DF75" i="1" s="1"/>
  <c r="DG75" i="1" a="1"/>
  <c r="DG75" i="1" s="1"/>
  <c r="DF267" i="1" a="1"/>
  <c r="DF267" i="1" s="1"/>
  <c r="DG267" i="1" a="1"/>
  <c r="DG267" i="1" s="1"/>
  <c r="DF74" i="1" a="1"/>
  <c r="DF74" i="1" s="1"/>
  <c r="DG74" i="1" a="1"/>
  <c r="DG74" i="1" s="1"/>
  <c r="DF134" i="1" a="1"/>
  <c r="DF134" i="1" s="1"/>
  <c r="DG134" i="1" a="1"/>
  <c r="DG134" i="1" s="1"/>
  <c r="DF28" i="1" a="1"/>
  <c r="DF28" i="1" s="1"/>
  <c r="DG28" i="1" a="1"/>
  <c r="DG28" i="1" s="1"/>
  <c r="DF261" i="1" a="1"/>
  <c r="DF261" i="1" s="1"/>
  <c r="DG261" i="1" a="1"/>
  <c r="DG261" i="1" s="1"/>
  <c r="DF166" i="1" a="1"/>
  <c r="DF166" i="1" s="1"/>
  <c r="DG166" i="1" a="1"/>
  <c r="DG166" i="1" s="1"/>
  <c r="DF127" i="1" a="1"/>
  <c r="DF127" i="1" s="1"/>
  <c r="DG127" i="1" a="1"/>
  <c r="DG127" i="1" s="1"/>
  <c r="DF64" i="1" a="1"/>
  <c r="DF64" i="1" s="1"/>
  <c r="DG64" i="1" a="1"/>
  <c r="DG64" i="1" s="1"/>
  <c r="DG213" i="1" a="1"/>
  <c r="DG213" i="1" s="1"/>
  <c r="DF213" i="1" a="1"/>
  <c r="DF213" i="1" s="1"/>
  <c r="DF156" i="1" a="1"/>
  <c r="DF156" i="1" s="1"/>
  <c r="DG156" i="1" a="1"/>
  <c r="DG156" i="1" s="1"/>
  <c r="DG14" i="1" a="1"/>
  <c r="DG14" i="1" s="1"/>
  <c r="DF14" i="1" a="1"/>
  <c r="DF14" i="1" s="1"/>
  <c r="DF158" i="1" a="1"/>
  <c r="DF158" i="1" s="1"/>
  <c r="DG158" i="1" a="1"/>
  <c r="DG158" i="1" s="1"/>
  <c r="DG217" i="1" a="1"/>
  <c r="DG217" i="1" s="1"/>
  <c r="DF217" i="1" a="1"/>
  <c r="DF217" i="1" s="1"/>
  <c r="DS179" i="1" l="1"/>
  <c r="DS89" i="1"/>
  <c r="DS6" i="1"/>
  <c r="DI112" i="1"/>
  <c r="DI257" i="1"/>
  <c r="DS257" i="1"/>
  <c r="DS112" i="1"/>
  <c r="DJ13" i="1"/>
  <c r="C40" i="3"/>
  <c r="F39" i="3"/>
  <c r="E47" i="3"/>
  <c r="DJ126" i="1"/>
  <c r="DJ123" i="1"/>
  <c r="DS126" i="1"/>
  <c r="DK126" i="1"/>
  <c r="DK209" i="1"/>
  <c r="DK111" i="1"/>
  <c r="DJ94" i="1"/>
  <c r="DS209" i="1"/>
  <c r="DK12" i="1"/>
  <c r="DK208" i="1"/>
  <c r="DS12" i="1"/>
  <c r="DJ209" i="1"/>
  <c r="DJ12" i="1"/>
  <c r="DK94" i="1"/>
  <c r="DS94" i="1"/>
  <c r="DS208" i="1"/>
  <c r="DK78" i="1"/>
  <c r="DS123" i="1"/>
  <c r="DK249" i="1"/>
  <c r="DK123" i="1"/>
  <c r="DS78" i="1"/>
  <c r="DJ208" i="1"/>
  <c r="DS249" i="1"/>
  <c r="DJ54" i="1"/>
  <c r="DJ114" i="1"/>
  <c r="DJ255" i="1"/>
  <c r="DJ77" i="1"/>
  <c r="DJ67" i="1"/>
  <c r="DJ185" i="1"/>
  <c r="DJ174" i="1"/>
  <c r="DJ152" i="1"/>
  <c r="DJ115" i="1"/>
  <c r="DJ78" i="1"/>
  <c r="DJ45" i="1"/>
  <c r="DJ91" i="1"/>
  <c r="DJ218" i="1"/>
  <c r="DJ172" i="1"/>
  <c r="DJ89" i="1"/>
  <c r="DJ88" i="1"/>
  <c r="DJ249" i="1"/>
  <c r="DJ230" i="1"/>
  <c r="DJ10" i="1"/>
  <c r="DJ147" i="1"/>
  <c r="DJ269" i="1"/>
  <c r="DJ160" i="1"/>
  <c r="DJ101" i="1"/>
  <c r="DJ8" i="1"/>
  <c r="DJ6" i="1"/>
  <c r="DJ120" i="1"/>
  <c r="DJ108" i="1"/>
  <c r="DS111" i="1"/>
  <c r="DJ237" i="1"/>
  <c r="DJ98" i="1"/>
  <c r="DJ40" i="1"/>
  <c r="DJ81" i="1"/>
  <c r="DJ36" i="1"/>
  <c r="DJ43" i="1"/>
  <c r="DJ129" i="1"/>
  <c r="DJ118" i="1"/>
  <c r="DJ251" i="1"/>
  <c r="DJ236" i="1"/>
  <c r="DJ72" i="1"/>
  <c r="DJ37" i="1"/>
  <c r="DJ200" i="1"/>
  <c r="DJ243" i="1"/>
  <c r="DJ194" i="1"/>
  <c r="DJ176" i="1"/>
  <c r="DJ266" i="1"/>
  <c r="DI266" i="1" s="1"/>
  <c r="DJ111" i="1"/>
  <c r="DJ182" i="1"/>
  <c r="DJ178" i="1"/>
  <c r="DJ202" i="1"/>
  <c r="DJ53" i="1"/>
  <c r="DJ31" i="1"/>
  <c r="DJ210" i="1"/>
  <c r="DJ245" i="1"/>
  <c r="DJ104" i="1"/>
  <c r="DJ248" i="1"/>
  <c r="DJ110" i="1"/>
  <c r="DJ86" i="1"/>
  <c r="DJ34" i="1"/>
  <c r="DJ256" i="1"/>
  <c r="DJ212" i="1"/>
  <c r="DJ244" i="1"/>
  <c r="DJ109" i="1"/>
  <c r="DJ143" i="1"/>
  <c r="DJ79" i="1"/>
  <c r="DJ228" i="1"/>
  <c r="DJ122" i="1"/>
  <c r="DJ153" i="1"/>
  <c r="DJ235" i="1"/>
  <c r="DJ192" i="1"/>
  <c r="DJ164" i="1"/>
  <c r="DJ42" i="1"/>
  <c r="DJ233" i="1"/>
  <c r="DJ240" i="1"/>
  <c r="DJ92" i="1"/>
  <c r="DJ15" i="1"/>
  <c r="DJ105" i="1"/>
  <c r="DJ216" i="1"/>
  <c r="DJ226" i="1"/>
  <c r="DJ52" i="1"/>
  <c r="DJ259" i="1"/>
  <c r="DJ247" i="1"/>
  <c r="DJ113" i="1"/>
  <c r="DJ33" i="1"/>
  <c r="DJ130" i="1"/>
  <c r="DJ107" i="1"/>
  <c r="DJ22" i="1"/>
  <c r="DJ21" i="1"/>
  <c r="DJ124" i="1"/>
  <c r="DJ100" i="1"/>
  <c r="DJ198" i="1"/>
  <c r="DJ196" i="1"/>
  <c r="DJ20" i="1"/>
  <c r="DJ252" i="1"/>
  <c r="DJ131" i="1"/>
  <c r="DJ95" i="1"/>
  <c r="DJ76" i="1"/>
  <c r="DJ44" i="1"/>
  <c r="DJ253" i="1"/>
  <c r="DJ70" i="1"/>
  <c r="DJ146" i="1"/>
  <c r="DJ121" i="1"/>
  <c r="DJ19" i="1"/>
  <c r="DJ135" i="1"/>
  <c r="DJ140" i="1"/>
  <c r="DJ145" i="1"/>
  <c r="DJ170" i="1"/>
  <c r="DJ51" i="1"/>
  <c r="DJ186" i="1"/>
  <c r="DJ64" i="1"/>
  <c r="DJ214" i="1"/>
  <c r="DJ68" i="1"/>
  <c r="DJ188" i="1"/>
  <c r="DJ90" i="1"/>
  <c r="DJ26" i="1"/>
  <c r="DJ183" i="1"/>
  <c r="DJ38" i="1"/>
  <c r="DJ241" i="1"/>
  <c r="DJ260" i="1"/>
  <c r="DJ84" i="1"/>
  <c r="DJ116" i="1"/>
  <c r="DJ234" i="1"/>
  <c r="DJ61" i="1"/>
  <c r="DJ97" i="1"/>
  <c r="DJ224" i="1"/>
  <c r="DJ142" i="1"/>
  <c r="DJ125" i="1"/>
  <c r="DJ14" i="1"/>
  <c r="DJ232" i="1"/>
  <c r="DJ221" i="1"/>
  <c r="DJ225" i="1"/>
  <c r="DJ7" i="1"/>
  <c r="DJ215" i="1"/>
  <c r="DJ219" i="1"/>
  <c r="DJ161" i="1"/>
  <c r="DJ32" i="1"/>
  <c r="DJ199" i="1"/>
  <c r="DJ163" i="1"/>
  <c r="DJ73" i="1"/>
  <c r="DJ262" i="1"/>
  <c r="DJ268" i="1"/>
  <c r="DJ16" i="1"/>
  <c r="DJ165" i="1"/>
  <c r="DJ207" i="1"/>
  <c r="DJ87" i="1"/>
  <c r="DJ171" i="1"/>
  <c r="DJ127" i="1"/>
  <c r="DJ134" i="1"/>
  <c r="DJ102" i="1"/>
  <c r="DJ59" i="1"/>
  <c r="DJ231" i="1"/>
  <c r="DJ47" i="1"/>
  <c r="DJ103" i="1"/>
  <c r="DJ99" i="1"/>
  <c r="DJ220" i="1"/>
  <c r="DJ168" i="1"/>
  <c r="DJ222" i="1"/>
  <c r="DJ139" i="1"/>
  <c r="DJ150" i="1"/>
  <c r="DJ263" i="1"/>
  <c r="DJ106" i="1"/>
  <c r="DJ187" i="1"/>
  <c r="DJ133" i="1"/>
  <c r="DJ117" i="1"/>
  <c r="DJ149" i="1"/>
  <c r="DJ193" i="1"/>
  <c r="DJ25" i="1"/>
  <c r="DJ9" i="1"/>
  <c r="DJ30" i="1"/>
  <c r="DJ136" i="1"/>
  <c r="DJ167" i="1"/>
  <c r="DJ57" i="1"/>
  <c r="DJ246" i="1"/>
  <c r="DJ189" i="1"/>
  <c r="DJ181" i="1"/>
  <c r="DJ62" i="1"/>
  <c r="DJ190" i="1"/>
  <c r="DJ141" i="1"/>
  <c r="DJ242" i="1"/>
  <c r="DJ41" i="1"/>
  <c r="DJ227" i="1"/>
  <c r="DJ80" i="1"/>
  <c r="DJ195" i="1"/>
  <c r="DJ69" i="1"/>
  <c r="DJ18" i="1"/>
  <c r="DJ177" i="1"/>
  <c r="DJ223" i="1"/>
  <c r="DJ229" i="1"/>
  <c r="DJ144" i="1"/>
  <c r="DJ23" i="1"/>
  <c r="DJ46" i="1"/>
  <c r="DJ197" i="1"/>
  <c r="DJ155" i="1"/>
  <c r="DJ201" i="1"/>
  <c r="DJ205" i="1"/>
  <c r="DJ217" i="1"/>
  <c r="DJ213" i="1"/>
  <c r="DJ175" i="1"/>
  <c r="DJ173" i="1"/>
  <c r="DJ71" i="1"/>
  <c r="DJ254" i="1"/>
  <c r="DJ265" i="1"/>
  <c r="DJ151" i="1"/>
  <c r="DJ250" i="1"/>
  <c r="DJ39" i="1"/>
  <c r="DJ211" i="1"/>
  <c r="DJ169" i="1"/>
  <c r="DJ203" i="1"/>
  <c r="DJ191" i="1"/>
  <c r="DJ128" i="1"/>
  <c r="DJ258" i="1"/>
  <c r="DJ238" i="1"/>
  <c r="DJ55" i="1"/>
  <c r="DJ48" i="1"/>
  <c r="DJ159" i="1"/>
  <c r="DJ157" i="1"/>
  <c r="DJ261" i="1"/>
  <c r="DJ184" i="1"/>
  <c r="DJ50" i="1"/>
  <c r="DJ96" i="1"/>
  <c r="DJ93" i="1"/>
  <c r="DJ58" i="1"/>
  <c r="DJ65" i="1"/>
  <c r="DJ239" i="1"/>
  <c r="DJ60" i="1"/>
  <c r="DJ154" i="1"/>
  <c r="DJ204" i="1"/>
  <c r="DJ206" i="1"/>
  <c r="DJ85" i="1"/>
  <c r="DJ267" i="1"/>
  <c r="DJ137" i="1"/>
  <c r="DJ138" i="1"/>
  <c r="DJ29" i="1"/>
  <c r="DJ148" i="1"/>
  <c r="DJ35" i="1"/>
  <c r="DJ180" i="1"/>
  <c r="DJ63" i="1"/>
  <c r="DJ162" i="1"/>
  <c r="DJ66" i="1"/>
  <c r="DJ27" i="1"/>
  <c r="DJ49" i="1"/>
  <c r="DJ82" i="1"/>
  <c r="DJ11" i="1"/>
  <c r="DJ264" i="1"/>
  <c r="DJ56" i="1"/>
  <c r="DJ158" i="1"/>
  <c r="DJ156" i="1"/>
  <c r="DJ166" i="1"/>
  <c r="DJ28" i="1"/>
  <c r="DJ74" i="1"/>
  <c r="DJ75" i="1"/>
  <c r="DJ179" i="1"/>
  <c r="DJ17" i="1"/>
  <c r="DJ119" i="1"/>
  <c r="DJ132" i="1"/>
  <c r="DJ270" i="1"/>
  <c r="DJ83" i="1"/>
  <c r="DS266" i="1"/>
  <c r="DK269" i="1"/>
  <c r="DS269" i="1"/>
  <c r="DK189" i="1"/>
  <c r="DS189" i="1"/>
  <c r="DK67" i="1"/>
  <c r="DS67" i="1"/>
  <c r="DK100" i="1"/>
  <c r="DS100" i="1"/>
  <c r="DK107" i="1"/>
  <c r="DS107" i="1"/>
  <c r="DK69" i="1"/>
  <c r="DS69" i="1"/>
  <c r="DK217" i="1"/>
  <c r="DS217" i="1"/>
  <c r="DK151" i="1"/>
  <c r="DS151" i="1"/>
  <c r="DK75" i="1"/>
  <c r="DS75" i="1"/>
  <c r="DK212" i="1"/>
  <c r="DS212" i="1"/>
  <c r="DK190" i="1"/>
  <c r="DS190" i="1"/>
  <c r="DK64" i="1"/>
  <c r="DS64" i="1"/>
  <c r="DK166" i="1"/>
  <c r="DS166" i="1"/>
  <c r="DK175" i="1"/>
  <c r="DS175" i="1"/>
  <c r="DK203" i="1"/>
  <c r="DS203" i="1"/>
  <c r="DK150" i="1"/>
  <c r="DS150" i="1"/>
  <c r="DK198" i="1"/>
  <c r="DS198" i="1"/>
  <c r="DK180" i="1"/>
  <c r="DS180" i="1"/>
  <c r="DK221" i="1"/>
  <c r="DS221" i="1"/>
  <c r="DK218" i="1"/>
  <c r="DS218" i="1"/>
  <c r="DK110" i="1"/>
  <c r="DS110" i="1"/>
  <c r="DK92" i="1"/>
  <c r="DS92" i="1"/>
  <c r="DK77" i="1"/>
  <c r="DS77" i="1"/>
  <c r="DK219" i="1"/>
  <c r="DS219" i="1"/>
  <c r="DK220" i="1"/>
  <c r="DS220" i="1"/>
  <c r="DK37" i="1"/>
  <c r="DS37" i="1"/>
  <c r="DK35" i="1"/>
  <c r="DS35" i="1"/>
  <c r="DK115" i="1"/>
  <c r="DS115" i="1"/>
  <c r="DK119" i="1"/>
  <c r="DS119" i="1"/>
  <c r="DK99" i="1"/>
  <c r="DS99" i="1"/>
  <c r="DK211" i="1"/>
  <c r="DS211" i="1"/>
  <c r="DK194" i="1"/>
  <c r="DS194" i="1"/>
  <c r="DK197" i="1"/>
  <c r="DS197" i="1"/>
  <c r="DK55" i="1"/>
  <c r="DS55" i="1"/>
  <c r="DK44" i="1"/>
  <c r="DS44" i="1"/>
  <c r="DK27" i="1"/>
  <c r="DS27" i="1"/>
  <c r="DK87" i="1"/>
  <c r="DS87" i="1"/>
  <c r="DK213" i="1"/>
  <c r="DS213" i="1"/>
  <c r="DK254" i="1"/>
  <c r="DS254" i="1"/>
  <c r="DK147" i="1"/>
  <c r="DS147" i="1"/>
  <c r="DK146" i="1"/>
  <c r="DS146" i="1"/>
  <c r="DK137" i="1"/>
  <c r="DS137" i="1"/>
  <c r="DK176" i="1"/>
  <c r="DS176" i="1"/>
  <c r="DK202" i="1"/>
  <c r="DS202" i="1"/>
  <c r="DK66" i="1"/>
  <c r="DS66" i="1"/>
  <c r="DK57" i="1"/>
  <c r="DS57" i="1"/>
  <c r="DK88" i="1"/>
  <c r="DS88" i="1"/>
  <c r="DK132" i="1"/>
  <c r="DS132" i="1"/>
  <c r="DK265" i="1"/>
  <c r="DS265" i="1"/>
  <c r="DK201" i="1"/>
  <c r="DS201" i="1"/>
  <c r="DK231" i="1"/>
  <c r="DS231" i="1"/>
  <c r="DK248" i="1"/>
  <c r="DS248" i="1"/>
  <c r="DK234" i="1"/>
  <c r="DS234" i="1"/>
  <c r="DK260" i="1"/>
  <c r="DS260" i="1"/>
  <c r="DK238" i="1"/>
  <c r="DS238" i="1"/>
  <c r="DK258" i="1"/>
  <c r="DS258" i="1"/>
  <c r="DK236" i="1"/>
  <c r="DS236" i="1"/>
  <c r="DK128" i="1"/>
  <c r="DS128" i="1"/>
  <c r="DK9" i="1"/>
  <c r="DS9" i="1"/>
  <c r="DK138" i="1"/>
  <c r="DS138" i="1"/>
  <c r="DK174" i="1"/>
  <c r="DS174" i="1"/>
  <c r="DK210" i="1"/>
  <c r="DS210" i="1"/>
  <c r="DK48" i="1"/>
  <c r="DS48" i="1"/>
  <c r="DK82" i="1"/>
  <c r="DS82" i="1"/>
  <c r="DK36" i="1"/>
  <c r="DS36" i="1"/>
  <c r="DK45" i="1"/>
  <c r="DS45" i="1"/>
  <c r="DK29" i="1"/>
  <c r="DS29" i="1"/>
  <c r="DK214" i="1"/>
  <c r="DS214" i="1"/>
  <c r="DK178" i="1"/>
  <c r="DS178" i="1"/>
  <c r="DK95" i="1"/>
  <c r="DS95" i="1"/>
  <c r="DK130" i="1"/>
  <c r="DS130" i="1"/>
  <c r="DK127" i="1"/>
  <c r="DS127" i="1"/>
  <c r="DK121" i="1"/>
  <c r="DS121" i="1"/>
  <c r="DK118" i="1"/>
  <c r="DS118" i="1"/>
  <c r="DK188" i="1"/>
  <c r="DS188" i="1"/>
  <c r="DK161" i="1"/>
  <c r="DS161" i="1"/>
  <c r="DK70" i="1"/>
  <c r="DS70" i="1"/>
  <c r="DK97" i="1"/>
  <c r="DS97" i="1"/>
  <c r="DK131" i="1"/>
  <c r="DS131" i="1"/>
  <c r="DK68" i="1"/>
  <c r="DS68" i="1"/>
  <c r="DK120" i="1"/>
  <c r="DS120" i="1"/>
  <c r="DK204" i="1"/>
  <c r="DS204" i="1"/>
  <c r="DK20" i="1"/>
  <c r="DS20" i="1"/>
  <c r="DK215" i="1"/>
  <c r="DS215" i="1"/>
  <c r="DK144" i="1"/>
  <c r="DS144" i="1"/>
  <c r="DK40" i="1"/>
  <c r="DS40" i="1"/>
  <c r="DK101" i="1"/>
  <c r="DS101" i="1"/>
  <c r="DK26" i="1"/>
  <c r="DS26" i="1"/>
  <c r="DK173" i="1"/>
  <c r="DS173" i="1"/>
  <c r="DK91" i="1"/>
  <c r="DS91" i="1"/>
  <c r="DK155" i="1"/>
  <c r="DS155" i="1"/>
  <c r="DK129" i="1"/>
  <c r="DS129" i="1"/>
  <c r="DK83" i="1"/>
  <c r="DS83" i="1"/>
  <c r="DK124" i="1"/>
  <c r="DS124" i="1"/>
  <c r="DK96" i="1"/>
  <c r="DS96" i="1"/>
  <c r="DK98" i="1"/>
  <c r="DS98" i="1"/>
  <c r="DK61" i="1"/>
  <c r="DS61" i="1"/>
  <c r="DK6" i="1"/>
  <c r="DK16" i="1"/>
  <c r="DS16" i="1"/>
  <c r="DK81" i="1"/>
  <c r="DS81" i="1"/>
  <c r="DK171" i="1"/>
  <c r="DS171" i="1"/>
  <c r="DK106" i="1"/>
  <c r="DS106" i="1"/>
  <c r="DK104" i="1"/>
  <c r="DS104" i="1"/>
  <c r="DK117" i="1"/>
  <c r="DS117" i="1"/>
  <c r="DK135" i="1"/>
  <c r="DS135" i="1"/>
  <c r="DK195" i="1"/>
  <c r="DS195" i="1"/>
  <c r="DK11" i="1"/>
  <c r="DS11" i="1"/>
  <c r="DK230" i="1"/>
  <c r="DS230" i="1"/>
  <c r="DK223" i="1"/>
  <c r="DS223" i="1"/>
  <c r="DK252" i="1"/>
  <c r="DS252" i="1"/>
  <c r="DK246" i="1"/>
  <c r="DS246" i="1"/>
  <c r="DK225" i="1"/>
  <c r="DS225" i="1"/>
  <c r="DK255" i="1"/>
  <c r="DS255" i="1"/>
  <c r="DK229" i="1"/>
  <c r="DS229" i="1"/>
  <c r="DK261" i="1"/>
  <c r="DS261" i="1"/>
  <c r="DK247" i="1"/>
  <c r="DS247" i="1"/>
  <c r="DK253" i="1"/>
  <c r="DS253" i="1"/>
  <c r="DK267" i="1"/>
  <c r="DS267" i="1"/>
  <c r="DK160" i="1"/>
  <c r="DS160" i="1"/>
  <c r="DK196" i="1"/>
  <c r="DS196" i="1"/>
  <c r="DK205" i="1"/>
  <c r="DS205" i="1"/>
  <c r="DK193" i="1"/>
  <c r="DS193" i="1"/>
  <c r="DK169" i="1"/>
  <c r="DS169" i="1"/>
  <c r="DK80" i="1"/>
  <c r="DS80" i="1"/>
  <c r="DK28" i="1"/>
  <c r="DS28" i="1"/>
  <c r="DK136" i="1"/>
  <c r="DS136" i="1"/>
  <c r="DK19" i="1"/>
  <c r="DS19" i="1"/>
  <c r="DK49" i="1"/>
  <c r="DS49" i="1"/>
  <c r="DK30" i="1"/>
  <c r="DS30" i="1"/>
  <c r="DK183" i="1"/>
  <c r="DS183" i="1"/>
  <c r="DK102" i="1"/>
  <c r="DS102" i="1"/>
  <c r="DK152" i="1"/>
  <c r="DS152" i="1"/>
  <c r="DK8" i="1"/>
  <c r="DS8" i="1"/>
  <c r="DK22" i="1"/>
  <c r="DS22" i="1"/>
  <c r="DK187" i="1"/>
  <c r="DS187" i="1"/>
  <c r="DK199" i="1"/>
  <c r="DS199" i="1"/>
  <c r="DK167" i="1"/>
  <c r="DS167" i="1"/>
  <c r="DK143" i="1"/>
  <c r="DS143" i="1"/>
  <c r="DK71" i="1"/>
  <c r="DS71" i="1"/>
  <c r="DK122" i="1"/>
  <c r="DS122" i="1"/>
  <c r="DK154" i="1"/>
  <c r="DS154" i="1"/>
  <c r="DK165" i="1"/>
  <c r="DS165" i="1"/>
  <c r="DK185" i="1"/>
  <c r="DS185" i="1"/>
  <c r="DK184" i="1"/>
  <c r="DS184" i="1"/>
  <c r="DK186" i="1"/>
  <c r="DS186" i="1"/>
  <c r="DK158" i="1"/>
  <c r="DS158" i="1"/>
  <c r="DK163" i="1"/>
  <c r="DS163" i="1"/>
  <c r="DK23" i="1"/>
  <c r="DS23" i="1"/>
  <c r="DK142" i="1"/>
  <c r="DS142" i="1"/>
  <c r="DK58" i="1"/>
  <c r="DS58" i="1"/>
  <c r="DK113" i="1"/>
  <c r="DS113" i="1"/>
  <c r="DK7" i="1"/>
  <c r="DS7" i="1"/>
  <c r="DK222" i="1"/>
  <c r="DS222" i="1"/>
  <c r="DK50" i="1"/>
  <c r="DS50" i="1"/>
  <c r="DK84" i="1"/>
  <c r="DS84" i="1"/>
  <c r="DK140" i="1"/>
  <c r="DS140" i="1"/>
  <c r="DK38" i="1"/>
  <c r="DS38" i="1"/>
  <c r="DK10" i="1"/>
  <c r="DS10" i="1"/>
  <c r="DK105" i="1"/>
  <c r="DS105" i="1"/>
  <c r="DK56" i="1"/>
  <c r="DS56" i="1"/>
  <c r="DK192" i="1"/>
  <c r="DS192" i="1"/>
  <c r="DK177" i="1"/>
  <c r="DS177" i="1"/>
  <c r="DK31" i="1"/>
  <c r="DS31" i="1"/>
  <c r="DK13" i="1"/>
  <c r="DS13" i="1"/>
  <c r="DK63" i="1"/>
  <c r="DS63" i="1"/>
  <c r="DK162" i="1"/>
  <c r="DS162" i="1"/>
  <c r="DK153" i="1"/>
  <c r="DS153" i="1"/>
  <c r="DK18" i="1"/>
  <c r="DS18" i="1"/>
  <c r="DK90" i="1"/>
  <c r="DS90" i="1"/>
  <c r="DK116" i="1"/>
  <c r="DS116" i="1"/>
  <c r="DK256" i="1"/>
  <c r="DS256" i="1"/>
  <c r="DK242" i="1"/>
  <c r="DS242" i="1"/>
  <c r="DK259" i="1"/>
  <c r="DS259" i="1"/>
  <c r="DK227" i="1"/>
  <c r="DS227" i="1"/>
  <c r="DK262" i="1"/>
  <c r="DS262" i="1"/>
  <c r="DK226" i="1"/>
  <c r="DS226" i="1"/>
  <c r="DK239" i="1"/>
  <c r="DS239" i="1"/>
  <c r="DK233" i="1"/>
  <c r="DS233" i="1"/>
  <c r="DK224" i="1"/>
  <c r="DS224" i="1"/>
  <c r="DK232" i="1"/>
  <c r="DS232" i="1"/>
  <c r="DK264" i="1"/>
  <c r="DS264" i="1"/>
  <c r="DK159" i="1"/>
  <c r="DS159" i="1"/>
  <c r="DK62" i="1"/>
  <c r="DS62" i="1"/>
  <c r="DK39" i="1"/>
  <c r="DS39" i="1"/>
  <c r="DK103" i="1"/>
  <c r="DS103" i="1"/>
  <c r="DK24" i="1"/>
  <c r="DI24" i="1" s="1"/>
  <c r="DS24" i="1"/>
  <c r="DK241" i="1"/>
  <c r="DS241" i="1"/>
  <c r="DK251" i="1"/>
  <c r="DS251" i="1"/>
  <c r="DK170" i="1"/>
  <c r="DS170" i="1"/>
  <c r="DK172" i="1"/>
  <c r="DS172" i="1"/>
  <c r="DK54" i="1"/>
  <c r="DS54" i="1"/>
  <c r="DK43" i="1"/>
  <c r="DS43" i="1"/>
  <c r="DK52" i="1"/>
  <c r="DS52" i="1"/>
  <c r="DK109" i="1"/>
  <c r="DS109" i="1"/>
  <c r="DK156" i="1"/>
  <c r="DS156" i="1"/>
  <c r="DK125" i="1"/>
  <c r="DS125" i="1"/>
  <c r="DK179" i="1"/>
  <c r="DK141" i="1"/>
  <c r="DS141" i="1"/>
  <c r="DK60" i="1"/>
  <c r="DS60" i="1"/>
  <c r="DK21" i="1"/>
  <c r="DS21" i="1"/>
  <c r="DK72" i="1"/>
  <c r="DS72" i="1"/>
  <c r="DK34" i="1"/>
  <c r="DS34" i="1"/>
  <c r="DK164" i="1"/>
  <c r="DS164" i="1"/>
  <c r="DK25" i="1"/>
  <c r="DS25" i="1"/>
  <c r="DK89" i="1"/>
  <c r="DK73" i="1"/>
  <c r="DS73" i="1"/>
  <c r="DK85" i="1"/>
  <c r="DS85" i="1"/>
  <c r="DK207" i="1"/>
  <c r="DS207" i="1"/>
  <c r="DK145" i="1"/>
  <c r="DS145" i="1"/>
  <c r="DK79" i="1"/>
  <c r="DS79" i="1"/>
  <c r="DK32" i="1"/>
  <c r="DS32" i="1"/>
  <c r="DK41" i="1"/>
  <c r="DS41" i="1"/>
  <c r="DK148" i="1"/>
  <c r="DS148" i="1"/>
  <c r="DK133" i="1"/>
  <c r="DS133" i="1"/>
  <c r="DK17" i="1"/>
  <c r="DS17" i="1"/>
  <c r="DK206" i="1"/>
  <c r="DS206" i="1"/>
  <c r="DK191" i="1"/>
  <c r="DS191" i="1"/>
  <c r="DK134" i="1"/>
  <c r="DS134" i="1"/>
  <c r="DK76" i="1"/>
  <c r="DS76" i="1"/>
  <c r="DK53" i="1"/>
  <c r="DS53" i="1"/>
  <c r="DK108" i="1"/>
  <c r="DS108" i="1"/>
  <c r="DK42" i="1"/>
  <c r="DS42" i="1"/>
  <c r="DK14" i="1"/>
  <c r="DS14" i="1"/>
  <c r="DK59" i="1"/>
  <c r="DS59" i="1"/>
  <c r="DK182" i="1"/>
  <c r="DS182" i="1"/>
  <c r="DK200" i="1"/>
  <c r="DS200" i="1"/>
  <c r="DK216" i="1"/>
  <c r="DS216" i="1"/>
  <c r="DK15" i="1"/>
  <c r="DS15" i="1"/>
  <c r="DK149" i="1"/>
  <c r="DS149" i="1"/>
  <c r="DK46" i="1"/>
  <c r="DS46" i="1"/>
  <c r="DK114" i="1"/>
  <c r="DS114" i="1"/>
  <c r="DK86" i="1"/>
  <c r="DS86" i="1"/>
  <c r="DK93" i="1"/>
  <c r="DS93" i="1"/>
  <c r="DK168" i="1"/>
  <c r="DS168" i="1"/>
  <c r="DK268" i="1"/>
  <c r="DS268" i="1"/>
  <c r="DK235" i="1"/>
  <c r="DS235" i="1"/>
  <c r="DK270" i="1"/>
  <c r="DS270" i="1"/>
  <c r="DK240" i="1"/>
  <c r="DS240" i="1"/>
  <c r="DK263" i="1"/>
  <c r="DS263" i="1"/>
  <c r="DK245" i="1"/>
  <c r="DS245" i="1"/>
  <c r="DK228" i="1"/>
  <c r="DS228" i="1"/>
  <c r="DK243" i="1"/>
  <c r="DS243" i="1"/>
  <c r="DK250" i="1"/>
  <c r="DS250" i="1"/>
  <c r="DK237" i="1"/>
  <c r="DS237" i="1"/>
  <c r="DK244" i="1"/>
  <c r="DS244" i="1"/>
  <c r="DK74" i="1"/>
  <c r="DS74" i="1"/>
  <c r="DK47" i="1"/>
  <c r="DS47" i="1"/>
  <c r="DK181" i="1"/>
  <c r="DS181" i="1"/>
  <c r="DK33" i="1"/>
  <c r="DS33" i="1"/>
  <c r="DK157" i="1"/>
  <c r="DS157" i="1"/>
  <c r="DK51" i="1"/>
  <c r="DS51" i="1"/>
  <c r="DK65" i="1"/>
  <c r="DS65" i="1"/>
  <c r="DK139" i="1"/>
  <c r="DS139" i="1"/>
  <c r="DI208" i="1" l="1"/>
  <c r="DI12" i="1"/>
  <c r="DI78" i="1"/>
  <c r="DI111" i="1"/>
  <c r="DI249" i="1"/>
  <c r="DI126" i="1"/>
  <c r="DI132" i="1"/>
  <c r="DI137" i="1"/>
  <c r="DI151" i="1"/>
  <c r="DI204" i="1"/>
  <c r="DI65" i="1"/>
  <c r="DI50" i="1"/>
  <c r="DI159" i="1"/>
  <c r="DI258" i="1"/>
  <c r="DI46" i="1"/>
  <c r="DI195" i="1"/>
  <c r="DI242" i="1"/>
  <c r="DI181" i="1"/>
  <c r="DI25" i="1"/>
  <c r="DI133" i="1"/>
  <c r="DI150" i="1"/>
  <c r="DI127" i="1"/>
  <c r="DI165" i="1"/>
  <c r="DI73" i="1"/>
  <c r="DI161" i="1"/>
  <c r="DI225" i="1"/>
  <c r="DI125" i="1"/>
  <c r="DI260" i="1"/>
  <c r="DI26" i="1"/>
  <c r="DI214" i="1"/>
  <c r="DI22" i="1"/>
  <c r="DI226" i="1"/>
  <c r="DI92" i="1"/>
  <c r="DI122" i="1"/>
  <c r="DI109" i="1"/>
  <c r="DI34" i="1"/>
  <c r="DI53" i="1"/>
  <c r="DI243" i="1"/>
  <c r="DI43" i="1"/>
  <c r="DI98" i="1"/>
  <c r="DI230" i="1"/>
  <c r="DI172" i="1"/>
  <c r="DI13" i="1"/>
  <c r="DI75" i="1"/>
  <c r="DI66" i="1"/>
  <c r="DI223" i="1"/>
  <c r="DI119" i="1"/>
  <c r="DI74" i="1"/>
  <c r="DI158" i="1"/>
  <c r="DI82" i="1"/>
  <c r="DI162" i="1"/>
  <c r="DI148" i="1"/>
  <c r="DI267" i="1"/>
  <c r="DI154" i="1"/>
  <c r="DI58" i="1"/>
  <c r="DI184" i="1"/>
  <c r="DI48" i="1"/>
  <c r="DI128" i="1"/>
  <c r="DI211" i="1"/>
  <c r="DI265" i="1"/>
  <c r="DI175" i="1"/>
  <c r="DI201" i="1"/>
  <c r="DI23" i="1"/>
  <c r="DI177" i="1"/>
  <c r="DI80" i="1"/>
  <c r="DI141" i="1"/>
  <c r="DI189" i="1"/>
  <c r="DI136" i="1"/>
  <c r="DI193" i="1"/>
  <c r="DI187" i="1"/>
  <c r="DI139" i="1"/>
  <c r="DI99" i="1"/>
  <c r="DI59" i="1"/>
  <c r="DI171" i="1"/>
  <c r="DI16" i="1"/>
  <c r="DI163" i="1"/>
  <c r="DI219" i="1"/>
  <c r="DI221" i="1"/>
  <c r="DI142" i="1"/>
  <c r="DI234" i="1"/>
  <c r="DI241" i="1"/>
  <c r="DI90" i="1"/>
  <c r="DI64" i="1"/>
  <c r="DI145" i="1"/>
  <c r="DI121" i="1"/>
  <c r="DI44" i="1"/>
  <c r="DI252" i="1"/>
  <c r="DI100" i="1"/>
  <c r="DI107" i="1"/>
  <c r="DI247" i="1"/>
  <c r="DI216" i="1"/>
  <c r="DI240" i="1"/>
  <c r="DI192" i="1"/>
  <c r="DI228" i="1"/>
  <c r="DI244" i="1"/>
  <c r="DI86" i="1"/>
  <c r="DI245" i="1"/>
  <c r="DI202" i="1"/>
  <c r="DI200" i="1"/>
  <c r="DI251" i="1"/>
  <c r="DI36" i="1"/>
  <c r="DI237" i="1"/>
  <c r="DI6" i="1"/>
  <c r="DI269" i="1"/>
  <c r="DI218" i="1"/>
  <c r="DI115" i="1"/>
  <c r="DI67" i="1"/>
  <c r="DI54" i="1"/>
  <c r="DI209" i="1"/>
  <c r="DI11" i="1"/>
  <c r="DI173" i="1"/>
  <c r="DI167" i="1"/>
  <c r="DI231" i="1"/>
  <c r="DI19" i="1"/>
  <c r="DI253" i="1"/>
  <c r="DI198" i="1"/>
  <c r="DI113" i="1"/>
  <c r="DI236" i="1"/>
  <c r="DI160" i="1"/>
  <c r="DI114" i="1"/>
  <c r="DI83" i="1"/>
  <c r="DI17" i="1"/>
  <c r="DI28" i="1"/>
  <c r="DI56" i="1"/>
  <c r="DI49" i="1"/>
  <c r="DI63" i="1"/>
  <c r="DI29" i="1"/>
  <c r="DI85" i="1"/>
  <c r="DI60" i="1"/>
  <c r="DI93" i="1"/>
  <c r="DI261" i="1"/>
  <c r="DI55" i="1"/>
  <c r="DI191" i="1"/>
  <c r="DI39" i="1"/>
  <c r="DI254" i="1"/>
  <c r="DI213" i="1"/>
  <c r="DI155" i="1"/>
  <c r="DI144" i="1"/>
  <c r="DI18" i="1"/>
  <c r="DI227" i="1"/>
  <c r="DI190" i="1"/>
  <c r="DI246" i="1"/>
  <c r="DI30" i="1"/>
  <c r="DI149" i="1"/>
  <c r="DI106" i="1"/>
  <c r="DI222" i="1"/>
  <c r="DI103" i="1"/>
  <c r="DI102" i="1"/>
  <c r="DI87" i="1"/>
  <c r="DI268" i="1"/>
  <c r="DI199" i="1"/>
  <c r="DI215" i="1"/>
  <c r="DI232" i="1"/>
  <c r="DI224" i="1"/>
  <c r="DI116" i="1"/>
  <c r="DI38" i="1"/>
  <c r="DI188" i="1"/>
  <c r="DI186" i="1"/>
  <c r="DI140" i="1"/>
  <c r="DI146" i="1"/>
  <c r="DI76" i="1"/>
  <c r="DI20" i="1"/>
  <c r="DI124" i="1"/>
  <c r="DI130" i="1"/>
  <c r="DI259" i="1"/>
  <c r="DI105" i="1"/>
  <c r="DI233" i="1"/>
  <c r="DI235" i="1"/>
  <c r="DI79" i="1"/>
  <c r="DI212" i="1"/>
  <c r="DI110" i="1"/>
  <c r="DI210" i="1"/>
  <c r="DI178" i="1"/>
  <c r="DI176" i="1"/>
  <c r="DI37" i="1"/>
  <c r="DI118" i="1"/>
  <c r="DI81" i="1"/>
  <c r="DI8" i="1"/>
  <c r="DI147" i="1"/>
  <c r="DI88" i="1"/>
  <c r="DI91" i="1"/>
  <c r="DI152" i="1"/>
  <c r="DI77" i="1"/>
  <c r="DI94" i="1"/>
  <c r="DI156" i="1"/>
  <c r="DI35" i="1"/>
  <c r="DI169" i="1"/>
  <c r="DI205" i="1"/>
  <c r="DI220" i="1"/>
  <c r="DI61" i="1"/>
  <c r="DI170" i="1"/>
  <c r="DI131" i="1"/>
  <c r="DI164" i="1"/>
  <c r="DI104" i="1"/>
  <c r="DI120" i="1"/>
  <c r="DI185" i="1"/>
  <c r="DI270" i="1"/>
  <c r="DI179" i="1"/>
  <c r="DI166" i="1"/>
  <c r="DI264" i="1"/>
  <c r="DI27" i="1"/>
  <c r="DI180" i="1"/>
  <c r="DI138" i="1"/>
  <c r="DI206" i="1"/>
  <c r="DI239" i="1"/>
  <c r="DI96" i="1"/>
  <c r="DI157" i="1"/>
  <c r="DI238" i="1"/>
  <c r="DI203" i="1"/>
  <c r="DI250" i="1"/>
  <c r="DI71" i="1"/>
  <c r="DI217" i="1"/>
  <c r="DI197" i="1"/>
  <c r="DI229" i="1"/>
  <c r="DI69" i="1"/>
  <c r="DI41" i="1"/>
  <c r="DI62" i="1"/>
  <c r="DI57" i="1"/>
  <c r="DI9" i="1"/>
  <c r="DI117" i="1"/>
  <c r="DI263" i="1"/>
  <c r="DI168" i="1"/>
  <c r="DI47" i="1"/>
  <c r="DI134" i="1"/>
  <c r="DI207" i="1"/>
  <c r="DI262" i="1"/>
  <c r="DI32" i="1"/>
  <c r="DI7" i="1"/>
  <c r="DI14" i="1"/>
  <c r="DI97" i="1"/>
  <c r="DI84" i="1"/>
  <c r="DI183" i="1"/>
  <c r="DI68" i="1"/>
  <c r="DI51" i="1"/>
  <c r="DI135" i="1"/>
  <c r="DI70" i="1"/>
  <c r="DI95" i="1"/>
  <c r="DI196" i="1"/>
  <c r="DI21" i="1"/>
  <c r="DI33" i="1"/>
  <c r="DI52" i="1"/>
  <c r="DI15" i="1"/>
  <c r="DI42" i="1"/>
  <c r="DI153" i="1"/>
  <c r="DI143" i="1"/>
  <c r="DI256" i="1"/>
  <c r="DI248" i="1"/>
  <c r="DI31" i="1"/>
  <c r="DI182" i="1"/>
  <c r="DI194" i="1"/>
  <c r="DI72" i="1"/>
  <c r="DI129" i="1"/>
  <c r="DI40" i="1"/>
  <c r="DI108" i="1"/>
  <c r="DI101" i="1"/>
  <c r="DI10" i="1"/>
  <c r="DI89" i="1"/>
  <c r="DI45" i="1"/>
  <c r="DI174" i="1"/>
  <c r="DI255" i="1"/>
  <c r="DI123"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7">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21"/>
        </ext>
      </extLst>
    </bk>
  </futureMetadata>
  <cellMetadata count="1">
    <bk>
      <rc t="1" v="0"/>
    </bk>
  </cellMetadata>
  <valueMetadata count="2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valueMetadata>
</metadata>
</file>

<file path=xl/sharedStrings.xml><?xml version="1.0" encoding="utf-8"?>
<sst xmlns="http://schemas.openxmlformats.org/spreadsheetml/2006/main" count="814" uniqueCount="523">
  <si>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</si>
  <si>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</si>
  <si>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</si>
  <si>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</si>
  <si>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</si>
  <si>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</si>
  <si>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</si>
  <si>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</si>
  <si>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</si>
  <si>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</si>
  <si>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</si>
  <si>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</si>
  <si>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</si>
  <si>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</si>
  <si>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</si>
  <si>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</si>
  <si>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</si>
  <si>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</si>
  <si>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</si>
  <si>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</si>
  <si>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</si>
  <si>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</si>
  <si>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</si>
  <si>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</si>
  <si>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</si>
  <si>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</si>
  <si>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</si>
  <si>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</si>
  <si>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</si>
  <si>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</si>
  <si>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</si>
  <si>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</si>
  <si>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</si>
  <si>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</si>
  <si>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</si>
  <si>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</si>
  <si>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</si>
  <si>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</si>
  <si>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</si>
  <si>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</si>
  <si>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</si>
  <si>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</si>
  <si>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</si>
  <si>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</si>
  <si>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</si>
  <si>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</si>
  <si>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</si>
  <si>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</si>
  <si>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</si>
  <si>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</si>
  <si>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</si>
  <si>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</si>
  <si>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</si>
  <si>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</si>
  <si>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</si>
  <si>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</si>
  <si>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</si>
  <si>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</si>
  <si>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</si>
  <si>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</si>
  <si>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</si>
  <si>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</si>
  <si>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</si>
  <si>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</si>
  <si>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</si>
  <si>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</si>
  <si>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</si>
  <si>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</si>
  <si>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</si>
  <si>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</si>
  <si>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</si>
  <si>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</si>
  <si>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</si>
  <si>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</si>
  <si>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</si>
  <si>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</si>
  <si>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</si>
  <si>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</si>
  <si>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</si>
  <si>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</si>
  <si>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</si>
  <si>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</si>
  <si>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</si>
  <si>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</si>
  <si>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</si>
  <si>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</si>
  <si>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</si>
  <si>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</si>
  <si>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</si>
  <si>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</si>
  <si>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</si>
  <si>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</si>
  <si>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</si>
  <si>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</si>
  <si>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</si>
  <si>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</si>
  <si>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</si>
  <si>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</si>
  <si>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</si>
  <si>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</si>
  <si>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</si>
  <si>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</si>
  <si>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</si>
  <si>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</si>
  <si>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</si>
  <si>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</si>
  <si>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</si>
  <si>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</si>
  <si>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</si>
  <si>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</si>
  <si>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</si>
  <si>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</si>
  <si>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</si>
  <si>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</si>
  <si>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</si>
  <si>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</si>
  <si>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</si>
  <si>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</si>
  <si>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</si>
  <si>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</si>
  <si>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</si>
  <si>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</si>
  <si>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</si>
  <si>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</si>
  <si>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</si>
  <si>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</si>
  <si>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</si>
  <si>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</si>
  <si>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</si>
  <si>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</si>
  <si>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</si>
  <si>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</si>
  <si>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</si>
  <si>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</si>
  <si>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</si>
  <si>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</si>
  <si>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</si>
  <si>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</si>
  <si>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</si>
  <si>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</si>
  <si>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</si>
  <si>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</si>
  <si>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</si>
  <si>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</si>
  <si>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</si>
  <si>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</si>
  <si>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</si>
  <si>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</si>
  <si>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</si>
  <si>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</si>
  <si>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</si>
  <si>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</si>
  <si>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</si>
  <si>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</si>
  <si>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</si>
  <si>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</si>
  <si>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</si>
  <si>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</si>
  <si>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</si>
  <si>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</si>
  <si>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</si>
  <si>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</si>
  <si>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</si>
  <si>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</si>
  <si>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</si>
  <si>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</si>
  <si>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</si>
  <si>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</si>
  <si>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</si>
  <si>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</si>
  <si>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</si>
  <si>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</si>
  <si>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</si>
  <si>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</si>
  <si>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</si>
  <si>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</si>
  <si>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</si>
  <si>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</si>
  <si>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</si>
  <si>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</si>
  <si>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</si>
  <si>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</si>
  <si>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</si>
  <si>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</si>
  <si>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</si>
  <si>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</si>
  <si>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</si>
  <si>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</si>
  <si>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</si>
  <si>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</si>
  <si>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</si>
  <si>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</si>
  <si>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</si>
  <si>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</si>
  <si>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</si>
  <si>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</si>
  <si>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</si>
  <si>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</si>
  <si>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</si>
  <si>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</si>
  <si>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</si>
  <si>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</si>
  <si>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</si>
  <si>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</si>
  <si>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</si>
  <si>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</si>
  <si>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</si>
  <si>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</si>
  <si>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</si>
  <si>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</si>
  <si>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</si>
  <si>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</si>
  <si>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</si>
  <si>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</si>
  <si>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</si>
  <si>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</si>
  <si>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</si>
  <si>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</si>
  <si>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</si>
  <si>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</si>
  <si>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</si>
  <si>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</si>
  <si>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</si>
  <si>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</si>
  <si>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</si>
  <si>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</si>
  <si>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</si>
  <si>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</si>
  <si>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</si>
  <si>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</si>
  <si>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</si>
  <si>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</si>
  <si>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</si>
  <si>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</si>
  <si>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</si>
  <si>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</si>
  <si>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</si>
  <si>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</si>
  <si>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</si>
  <si>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</si>
  <si>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</si>
  <si>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</si>
  <si>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</si>
  <si>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</si>
  <si>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</si>
  <si>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</si>
  <si>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</si>
  <si>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</si>
  <si>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</si>
  <si>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</si>
  <si>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</si>
  <si>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</si>
  <si>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</si>
  <si>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</si>
  <si>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</si>
  <si>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</si>
  <si>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</si>
  <si>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</si>
  <si>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</si>
  <si>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</si>
  <si>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</si>
  <si>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</si>
  <si>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</si>
  <si>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</si>
  <si>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</si>
  <si>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</si>
  <si>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</si>
  <si>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</si>
  <si>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</si>
  <si>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</si>
  <si>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</si>
  <si>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</si>
  <si>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</si>
  <si>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</si>
  <si>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</si>
  <si>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</si>
  <si>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</si>
  <si>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</si>
  <si>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Projeção</t>
  </si>
  <si>
    <t>Maior</t>
  </si>
  <si>
    <t>k(17)</t>
  </si>
  <si>
    <t>k (33)</t>
  </si>
  <si>
    <t>k (65)</t>
  </si>
  <si>
    <t>k (17)</t>
  </si>
  <si>
    <t>k (65</t>
  </si>
  <si>
    <t>Volume</t>
  </si>
  <si>
    <t>Clear</t>
  </si>
  <si>
    <t>Toro</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</si>
  <si>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</si>
  <si>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</si>
  <si>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</si>
  <si>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</si>
  <si>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</si>
  <si>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</si>
  <si>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</si>
  <si>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</si>
  <si>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</si>
  <si>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</si>
  <si>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</si>
  <si>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</si>
  <si>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</si>
  <si>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</si>
  <si>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</si>
  <si>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</si>
  <si>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</si>
  <si>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</si>
  <si>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</si>
  <si>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</si>
  <si>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</si>
  <si>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</si>
  <si>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</si>
  <si>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</si>
  <si>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</si>
  <si>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</si>
  <si>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</si>
  <si>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</si>
  <si>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</si>
  <si>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</si>
  <si>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</si>
  <si>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</si>
  <si>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</si>
  <si>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</si>
  <si>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</si>
  <si>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</si>
  <si>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</si>
  <si>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</si>
  <si>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</si>
  <si>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</si>
  <si>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</si>
  <si>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</si>
  <si>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</si>
  <si>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</si>
  <si>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</si>
  <si>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</si>
  <si>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</si>
  <si>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</si>
  <si>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</si>
  <si>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</si>
  <si>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</si>
  <si>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</si>
  <si>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</si>
  <si>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</si>
  <si>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</si>
  <si>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</si>
  <si>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</si>
  <si>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</si>
  <si>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</si>
  <si>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</si>
  <si>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</si>
  <si>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</si>
  <si>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</si>
  <si>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</si>
  <si>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</si>
  <si>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</si>
  <si>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</si>
  <si>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</si>
  <si>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</si>
  <si>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</si>
  <si>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</si>
  <si>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</si>
  <si>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</si>
  <si>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</si>
  <si>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</si>
  <si>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CEGR3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</si>
  <si>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</si>
  <si>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</si>
  <si>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</si>
  <si>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</si>
  <si>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</si>
  <si>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</si>
  <si>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</si>
  <si>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</si>
  <si>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</si>
  <si>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</si>
  <si>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</si>
  <si>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</si>
  <si>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</si>
  <si>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</si>
  <si>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</si>
  <si>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</si>
  <si>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</si>
  <si>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</si>
  <si>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</si>
  <si>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</si>
  <si>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</si>
  <si>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</si>
  <si>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</si>
  <si>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</si>
  <si>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</si>
  <si>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</si>
  <si>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</si>
  <si>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</si>
  <si>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</si>
  <si>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</si>
  <si>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</si>
  <si>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</si>
  <si>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</si>
  <si>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</si>
  <si>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</si>
  <si>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</si>
  <si>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</si>
  <si>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</si>
  <si>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</si>
  <si>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</si>
  <si>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</si>
  <si>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</si>
  <si>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</si>
  <si>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</si>
  <si>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</si>
  <si>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</si>
  <si>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</si>
  <si>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</si>
  <si>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</si>
  <si>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</si>
  <si>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</si>
  <si>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</si>
  <si>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</si>
  <si>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</si>
  <si>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</si>
  <si>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</si>
  <si>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</si>
  <si>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</si>
  <si>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</si>
  <si>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</si>
  <si>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</si>
  <si>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</si>
  <si>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</si>
  <si>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</si>
  <si>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</si>
  <si>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</si>
  <si>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</si>
  <si>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</si>
  <si>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</si>
  <si>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</si>
  <si>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</si>
  <si>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</si>
  <si>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</si>
  <si>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</si>
  <si>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</si>
  <si>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</si>
  <si>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</si>
  <si>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</si>
  <si>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</si>
  <si>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</si>
  <si>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</si>
  <si>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</si>
  <si>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</si>
  <si>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</si>
  <si>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</si>
  <si>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</si>
  <si>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</si>
  <si>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</si>
  <si>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</si>
  <si>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</si>
  <si>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</si>
  <si>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</si>
  <si>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</si>
  <si>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</si>
  <si>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</si>
  <si>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</si>
  <si>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</si>
  <si>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</si>
  <si>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</si>
  <si>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</si>
  <si>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</si>
  <si>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</si>
  <si>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</si>
  <si>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</si>
  <si>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</si>
  <si>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</si>
  <si>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</si>
  <si>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</si>
  <si>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</si>
  <si>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</si>
  <si>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</si>
  <si>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</si>
  <si>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RENTABILIDADE</t>
  </si>
  <si>
    <t>ROIC (capital)</t>
  </si>
  <si>
    <t>ENDIVIDAMENTO E SOLIDEZ</t>
  </si>
  <si>
    <t>Caixa (Liq. Corr)</t>
  </si>
  <si>
    <t>Lucro</t>
  </si>
  <si>
    <t>Valor Patr.</t>
  </si>
  <si>
    <t>Cap. Giro</t>
  </si>
  <si>
    <t>TÉCNICA</t>
  </si>
  <si>
    <t>VALUATION (P/)</t>
  </si>
  <si>
    <t xml:space="preserve"> </t>
  </si>
  <si>
    <t>Ticker</t>
  </si>
  <si>
    <t>Var (%)</t>
  </si>
  <si>
    <t>Spread (%)</t>
  </si>
  <si>
    <t>Baixo (R$)</t>
  </si>
  <si>
    <t>Alto (R$)</t>
  </si>
  <si>
    <t>Justo (R$)</t>
  </si>
  <si>
    <t>Margem Liq (%)</t>
  </si>
  <si>
    <t>Acumulado ano (%)</t>
  </si>
  <si>
    <t>Mín (R$)</t>
  </si>
  <si>
    <t>Média (R$)</t>
  </si>
  <si>
    <t>Max (R$)</t>
  </si>
  <si>
    <t>S3 (R$)</t>
  </si>
  <si>
    <t>S2 (R$)</t>
  </si>
  <si>
    <t>S1 (R$)</t>
  </si>
  <si>
    <t>Pivô (R$)</t>
  </si>
  <si>
    <t>R1 (R$)</t>
  </si>
  <si>
    <t>R2 (R$)</t>
  </si>
  <si>
    <t>R3 (R$)</t>
  </si>
  <si>
    <t>Suporte (R$)</t>
  </si>
  <si>
    <t>Resistência (R$)</t>
  </si>
  <si>
    <t>Média Volume</t>
  </si>
  <si>
    <t>Previsão</t>
  </si>
  <si>
    <t>(-)</t>
  </si>
  <si>
    <t>(+)</t>
  </si>
  <si>
    <t>Acm (%)</t>
  </si>
  <si>
    <t>Esperado</t>
  </si>
  <si>
    <t>S Ibov</t>
  </si>
  <si>
    <t>S Var (%)</t>
  </si>
  <si>
    <t>Itaú</t>
  </si>
  <si>
    <t>Santander</t>
  </si>
  <si>
    <t>BTG Pactual</t>
  </si>
  <si>
    <t>-</t>
  </si>
  <si>
    <t>Santander Corr.</t>
  </si>
  <si>
    <t>Itaú Íon</t>
  </si>
  <si>
    <t>Posição</t>
  </si>
  <si>
    <t>Pm</t>
  </si>
  <si>
    <t>GOLD11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</si>
</sst>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b/>
      <sz val="8"/>
      <color theme="7" tint="-0.249977111117893"/>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04">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14" fontId="11" fillId="0" borderId="0" xfId="0" applyNumberFormat="1" applyFont="1"/>
    <xf numFmtId="164" fontId="0" fillId="4" borderId="0" xfId="0" applyNumberFormat="1" applyFill="1" applyAlignment="1">
      <alignment horizontal="left"/>
    </xf>
    <xf numFmtId="0" fontId="12" fillId="0" borderId="0" xfId="0" applyFont="1"/>
    <xf numFmtId="10" fontId="2" fillId="5" borderId="1" xfId="0" applyNumberFormat="1" applyFont="1" applyFill="1" applyBorder="1" applyAlignment="1">
      <alignment horizontal="center"/>
    </xf>
    <xf numFmtId="0" fontId="13" fillId="3" borderId="0" xfId="0" applyFont="1" applyFill="1" applyAlignment="1">
      <alignment horizontal="center"/>
    </xf>
    <xf numFmtId="2" fontId="14" fillId="0" borderId="0" xfId="0" applyNumberFormat="1" applyFont="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5"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5" borderId="2" xfId="0" applyNumberFormat="1" applyFont="1" applyFill="1" applyBorder="1" applyAlignment="1">
      <alignment horizontal="center"/>
    </xf>
    <xf numFmtId="10" fontId="16" fillId="6" borderId="1" xfId="0" applyNumberFormat="1" applyFont="1" applyFill="1" applyBorder="1" applyAlignment="1">
      <alignment horizontal="center"/>
    </xf>
    <xf numFmtId="164" fontId="18" fillId="6" borderId="1" xfId="0" applyNumberFormat="1" applyFont="1" applyFill="1" applyBorder="1" applyAlignment="1">
      <alignment horizontal="center"/>
    </xf>
    <xf numFmtId="10" fontId="18" fillId="6" borderId="1" xfId="0" applyNumberFormat="1" applyFont="1" applyFill="1" applyBorder="1" applyAlignment="1">
      <alignment horizontal="center"/>
    </xf>
    <xf numFmtId="164" fontId="2" fillId="6" borderId="1" xfId="0" applyNumberFormat="1" applyFont="1" applyFill="1" applyBorder="1" applyAlignment="1">
      <alignment horizontal="center"/>
    </xf>
    <xf numFmtId="3" fontId="1" fillId="6" borderId="1" xfId="0" applyNumberFormat="1" applyFont="1" applyFill="1" applyBorder="1" applyAlignment="1">
      <alignment horizontal="center"/>
    </xf>
    <xf numFmtId="10" fontId="2" fillId="0" borderId="0" xfId="0" applyNumberFormat="1" applyFont="1"/>
    <xf numFmtId="164" fontId="1" fillId="6" borderId="1" xfId="0" applyNumberFormat="1" applyFont="1" applyFill="1" applyBorder="1" applyAlignment="1">
      <alignment horizontal="center"/>
    </xf>
    <xf numFmtId="164" fontId="6" fillId="6" borderId="0" xfId="0" applyNumberFormat="1" applyFont="1" applyFill="1" applyAlignment="1">
      <alignment horizontal="center"/>
    </xf>
    <xf numFmtId="0" fontId="12" fillId="0" borderId="0" xfId="0" applyFont="1" applyAlignment="1">
      <alignment horizontal="center"/>
    </xf>
    <xf numFmtId="164" fontId="2" fillId="0" borderId="1" xfId="0" applyNumberFormat="1" applyFont="1" applyBorder="1" applyAlignment="1">
      <alignment horizontal="center"/>
    </xf>
    <xf numFmtId="10" fontId="16" fillId="6"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6" borderId="3" xfId="0" applyNumberFormat="1" applyFont="1" applyFill="1" applyBorder="1" applyAlignment="1">
      <alignment horizontal="center"/>
    </xf>
    <xf numFmtId="10" fontId="18" fillId="6" borderId="3" xfId="0" applyNumberFormat="1" applyFont="1" applyFill="1" applyBorder="1" applyAlignment="1">
      <alignment horizontal="center"/>
    </xf>
    <xf numFmtId="4" fontId="1" fillId="5" borderId="3" xfId="0" applyNumberFormat="1" applyFont="1" applyFill="1" applyBorder="1" applyAlignment="1">
      <alignment horizontal="center"/>
    </xf>
    <xf numFmtId="10" fontId="16" fillId="6"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6" borderId="2" xfId="0" applyNumberFormat="1" applyFont="1" applyFill="1" applyBorder="1" applyAlignment="1">
      <alignment horizontal="center"/>
    </xf>
    <xf numFmtId="164" fontId="18" fillId="6"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6"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6"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6"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2" fontId="8" fillId="6" borderId="1" xfId="0" applyNumberFormat="1" applyFont="1" applyFill="1" applyBorder="1" applyAlignment="1">
      <alignment horizontal="center"/>
    </xf>
    <xf numFmtId="164" fontId="2" fillId="0" borderId="3" xfId="0" applyNumberFormat="1" applyFont="1" applyBorder="1"/>
    <xf numFmtId="49" fontId="0" fillId="0" borderId="0" xfId="0" applyNumberFormat="1"/>
    <xf numFmtId="10" fontId="9" fillId="7" borderId="2" xfId="0" applyNumberFormat="1" applyFont="1" applyFill="1" applyBorder="1" applyAlignment="1">
      <alignment horizontal="center"/>
    </xf>
    <xf numFmtId="10" fontId="9" fillId="7" borderId="1" xfId="0" applyNumberFormat="1" applyFont="1" applyFill="1" applyBorder="1" applyAlignment="1">
      <alignment horizontal="center"/>
    </xf>
    <xf numFmtId="10" fontId="15" fillId="7" borderId="1" xfId="0" applyNumberFormat="1" applyFont="1" applyFill="1" applyBorder="1" applyAlignment="1">
      <alignment horizontal="center"/>
    </xf>
    <xf numFmtId="10" fontId="9" fillId="7" borderId="3" xfId="0" applyNumberFormat="1" applyFont="1" applyFill="1" applyBorder="1" applyAlignment="1">
      <alignment horizontal="center"/>
    </xf>
    <xf numFmtId="168" fontId="1" fillId="0" borderId="0" xfId="0" applyNumberFormat="1" applyFont="1" applyAlignment="1">
      <alignment horizontal="center"/>
    </xf>
    <xf numFmtId="4" fontId="2" fillId="6" borderId="1" xfId="0" applyNumberFormat="1" applyFont="1" applyFill="1" applyBorder="1" applyAlignment="1">
      <alignment horizontal="center"/>
    </xf>
    <xf numFmtId="4" fontId="8" fillId="6" borderId="1" xfId="0" applyNumberFormat="1" applyFont="1" applyFill="1" applyBorder="1" applyAlignment="1">
      <alignment horizontal="center"/>
    </xf>
    <xf numFmtId="2" fontId="1" fillId="6" borderId="1" xfId="0" applyNumberFormat="1" applyFont="1" applyFill="1" applyBorder="1" applyAlignment="1">
      <alignment horizontal="center" wrapText="1"/>
    </xf>
    <xf numFmtId="164" fontId="11" fillId="8" borderId="0" xfId="0" applyNumberFormat="1" applyFont="1" applyFill="1"/>
    <xf numFmtId="0" fontId="11" fillId="8" borderId="0" xfId="0" applyFont="1" applyFill="1" applyAlignment="1">
      <alignment horizontal="center"/>
    </xf>
    <xf numFmtId="14" fontId="11" fillId="0" borderId="0" xfId="0" applyNumberFormat="1" applyFont="1" applyAlignment="1">
      <alignment horizontal="center"/>
    </xf>
    <xf numFmtId="0" fontId="1" fillId="0" borderId="0" xfId="0" applyFont="1" applyAlignment="1">
      <alignment horizontal="left"/>
    </xf>
    <xf numFmtId="164" fontId="6" fillId="5" borderId="1" xfId="0" applyNumberFormat="1" applyFont="1" applyFill="1" applyBorder="1" applyAlignment="1">
      <alignment horizontal="center"/>
    </xf>
    <xf numFmtId="164" fontId="6" fillId="6"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5" borderId="1" xfId="0" applyNumberFormat="1" applyFont="1" applyFill="1" applyBorder="1" applyAlignment="1">
      <alignment horizontal="center"/>
    </xf>
    <xf numFmtId="164" fontId="20" fillId="0" borderId="1" xfId="0" applyNumberFormat="1" applyFont="1" applyBorder="1" applyAlignment="1">
      <alignment horizontal="center"/>
    </xf>
    <xf numFmtId="164" fontId="5" fillId="5" borderId="1" xfId="0" applyNumberFormat="1" applyFont="1" applyFill="1" applyBorder="1" applyAlignment="1">
      <alignment horizontal="center"/>
    </xf>
    <xf numFmtId="10" fontId="8" fillId="6" borderId="1" xfId="0" applyNumberFormat="1" applyFont="1" applyFill="1" applyBorder="1" applyAlignment="1">
      <alignment horizontal="center"/>
    </xf>
    <xf numFmtId="4" fontId="14" fillId="6" borderId="1" xfId="0" applyNumberFormat="1" applyFont="1" applyFill="1" applyBorder="1" applyAlignment="1">
      <alignment horizontal="center"/>
    </xf>
    <xf numFmtId="2" fontId="5" fillId="6" borderId="1" xfId="0" applyNumberFormat="1" applyFont="1" applyFill="1" applyBorder="1" applyAlignment="1">
      <alignment horizontal="center"/>
    </xf>
    <xf numFmtId="2" fontId="3" fillId="0" borderId="0" xfId="0" applyNumberFormat="1" applyFont="1" applyAlignment="1">
      <alignment horizontal="center"/>
    </xf>
    <xf numFmtId="10" fontId="5" fillId="0" borderId="0" xfId="0" applyNumberFormat="1" applyFont="1"/>
    <xf numFmtId="2" fontId="5" fillId="0" borderId="1" xfId="0" applyNumberFormat="1" applyFont="1" applyBorder="1" applyAlignment="1">
      <alignment horizontal="center"/>
    </xf>
    <xf numFmtId="2" fontId="14" fillId="6" borderId="1" xfId="0" applyNumberFormat="1" applyFont="1" applyFill="1" applyBorder="1" applyAlignment="1">
      <alignment horizontal="center"/>
    </xf>
    <xf numFmtId="0" fontId="2" fillId="0" borderId="0" xfId="0" applyFont="1" applyAlignment="1">
      <alignment horizontal="center"/>
    </xf>
  </cellXfs>
  <cellStyles count="1">
    <cellStyle name="Normal" xfId="0" builtinId="0"/>
  </cellStyles>
  <dxfs count="59">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theme="9" tint="-0.24994659260841701"/>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theme="9" tint="0.39994506668294322"/>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solid">
          <bgColor theme="0"/>
        </patternFill>
      </fill>
    </dxf>
    <dxf>
      <font>
        <b/>
        <i val="0"/>
        <color theme="0"/>
      </font>
      <fill>
        <patternFill>
          <bgColor rgb="FF00B050"/>
        </patternFill>
      </fill>
    </dxf>
    <dxf>
      <font>
        <b/>
        <i val="0"/>
        <color theme="0"/>
      </font>
      <fill>
        <patternFill>
          <bgColor rgb="FF00B050"/>
        </patternFill>
      </fill>
    </dxf>
    <dxf>
      <font>
        <b/>
        <i val="0"/>
        <color rgb="FF00B050"/>
      </font>
    </dxf>
    <dxf>
      <font>
        <b/>
        <i val="0"/>
        <color theme="9" tint="0.59996337778862885"/>
      </font>
    </dxf>
    <dxf>
      <font>
        <color rgb="FF00B050"/>
      </font>
    </dxf>
    <dxf>
      <font>
        <b/>
        <i val="0"/>
        <color auto="1"/>
      </font>
      <fill>
        <patternFill patternType="none">
          <bgColor auto="1"/>
        </patternFill>
      </fill>
    </dxf>
    <dxf>
      <font>
        <b/>
        <i val="0"/>
        <color theme="0"/>
      </font>
      <fill>
        <patternFill>
          <bgColor rgb="FF00B050"/>
        </patternFill>
      </fill>
    </dxf>
    <dxf>
      <font>
        <b/>
        <i val="0"/>
        <color rgb="FF0070C0"/>
      </font>
    </dxf>
    <dxf>
      <font>
        <color auto="1"/>
      </font>
      <fill>
        <patternFill patternType="solid">
          <bgColor theme="0" tint="-0.14996795556505021"/>
        </patternFill>
      </fill>
    </dxf>
    <dxf>
      <font>
        <b/>
        <i val="0"/>
        <color rgb="FF00B050"/>
      </font>
    </dxf>
    <dxf>
      <font>
        <color rgb="FF00B050"/>
      </font>
    </dxf>
    <dxf>
      <font>
        <b/>
        <i val="0"/>
        <color rgb="FFFF0000"/>
      </font>
    </dxf>
    <dxf>
      <font>
        <b/>
        <i val="0"/>
        <color rgb="FF00B050"/>
      </font>
    </dxf>
    <dxf>
      <font>
        <b/>
        <i val="0"/>
        <color theme="0"/>
      </font>
      <fill>
        <patternFill>
          <bgColor rgb="FF00B050"/>
        </patternFill>
      </fill>
    </dxf>
    <dxf>
      <font>
        <b/>
        <i val="0"/>
        <color auto="1"/>
      </font>
      <fill>
        <patternFill patternType="none">
          <bgColor auto="1"/>
        </patternFill>
      </fill>
    </dxf>
    <dxf>
      <font>
        <b/>
        <i val="0"/>
        <color rgb="FFFF0000"/>
      </font>
    </dxf>
    <dxf>
      <font>
        <b/>
        <i val="0"/>
        <color rgb="FF00B050"/>
      </font>
    </dxf>
    <dxf>
      <font>
        <b/>
        <i val="0"/>
        <color auto="1"/>
      </font>
      <fill>
        <patternFill patternType="none">
          <bgColor auto="1"/>
        </patternFill>
      </fill>
    </dxf>
    <dxf>
      <font>
        <b/>
        <i val="0"/>
        <color theme="0"/>
      </font>
      <fill>
        <patternFill>
          <bgColor rgb="FF00B050"/>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2">
  <rv s="0">
    <v>https://www.bing.com/financeapi/forcetrigger?t=bx3d27&amp;q=BVMF%3aGOLD11&amp;form=skydnc</v>
    <v>Learn more on Bing</v>
  </rv>
  <rv s="1">
    <v>pt-BR</v>
    <v>bx3d27</v>
    <v>268435456</v>
    <v>1</v>
    <v>Da plataforma Refinitiv</v>
    <v>0</v>
    <v>1</v>
    <v>Trend ETF LBMA Ouro FIInd IE (BVMF:GOLD11)</v>
    <v>3</v>
    <v>4</v>
    <v>Finance</v>
    <v>5</v>
    <v>20.82</v>
    <v>12.98</v>
    <v>BVMF</v>
    <v>20.13</v>
    <v>19.82</v>
    <v>0.98060000000000003</v>
    <v>B3 - Brazil Stock Exchange</v>
    <v>1734728958.8199999</v>
    <v>19.62</v>
    <v>45821.958333333336</v>
    <v>0</v>
    <v>BRL</v>
    <v>Trend ETF LBMA Ouro FIInd IE</v>
    <v>20.079999999999998</v>
    <v>19.87</v>
    <v>GOLD11</v>
    <v>Fundos mais negociados</v>
    <v>Trend ETF LBMA Ouro FIInd IE (BVMF:GOLD11)</v>
    <v>0.25</v>
    <v>1.2742E-2</v>
    <v>1762347</v>
  </rv>
  <rv s="2">
    <v>1</v>
  </rv>
  <rv s="0">
    <v>https://www.bing.com/financeapi/forcetrigger?t=apnmnm&amp;q=SAO+PAULO+SE+BOVESPA+INDEX&amp;form=skydnc</v>
    <v>Learn more on Bing</v>
  </rv>
  <rv s="3">
    <v>pt-BR</v>
    <v>apnmnm</v>
    <v>268435456</v>
    <v>1</v>
    <v>Da plataforma Refinitiv</v>
    <v>6</v>
    <v>7</v>
    <v>SAO PAULO SE BOVESPA INDEX</v>
    <v>3</v>
    <v>8</v>
    <v>Finance</v>
    <v>9</v>
    <v>140381.93</v>
    <v>118222.64</v>
    <v>137799.95000000001</v>
    <v>136585.9</v>
    <v>137799.74</v>
    <v>3</v>
    <v>SAO PAULO SE BOVESPA INDEX</v>
    <v>BR</v>
    <v>137799.54</v>
    <v>137212.63</v>
    <v>IBOV</v>
    <v>Índice</v>
    <v>SAO PAULO SE BOVESPA INDEX</v>
    <v>-587.11</v>
    <v>-4.261E-3</v>
  </rv>
  <rv s="2">
    <v>4</v>
  </rv>
  <rv s="4">
    <v>13</v>
    <v>3</v>
  </rv>
  <rv s="5">
    <v>13</v>
    <v>1</v>
  </rv>
  <rv s="0">
    <v>https://www.bing.com/financeapi/forcetrigger?t=apm8oc&amp;q=BVMF%3aEQPA7&amp;form=skydnc</v>
    <v>Learn more on Bing</v>
  </rv>
  <rv s="6">
    <v>pt-BR</v>
    <v>apm8oc</v>
    <v>268435456</v>
    <v>1</v>
    <v>Da plataforma Refinitiv</v>
    <v>10</v>
    <v>11</v>
    <v>EQUATORIAL PARÁ DISTRIBUIDORA DE ENERGIA S.A (BVMF:EQPA7)</v>
    <v>12</v>
    <v>13</v>
    <v>Finance</v>
    <v>5</v>
    <v>8.0500000000000007</v>
    <v>7.58</v>
    <v>BVMF</v>
    <v>4453440</v>
    <v>8.0500000000000007</v>
    <v>1960</v>
    <v>8.0500000000000007</v>
    <v>0.56799999999999995</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8</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9</v>
  </rv>
  <rv s="0">
    <v>https://www.bing.com/financeapi/forcetrigger?t=apm9hw&amp;q=BVMF%3aCGRA4&amp;form=skydnc</v>
    <v>Learn more on Bing</v>
  </rv>
  <rv s="7">
    <v>pt-BR</v>
    <v>apm9hw</v>
    <v>268435456</v>
    <v>1</v>
    <v>Da plataforma Refinitiv</v>
    <v>14</v>
    <v>15</v>
    <v>GRAZZIOTIN S.A. (BVMF:CGRA4)</v>
    <v>12</v>
    <v>16</v>
    <v>Finance</v>
    <v>5</v>
    <v>29.55</v>
    <v>21.02</v>
    <v>BVMF</v>
    <v>20585620</v>
    <v>29.55</v>
    <v>1950</v>
    <v>28.93</v>
    <v>0.52049999999999996</v>
    <v>B3 - Brazil Stock Exchange</v>
    <v>596057900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28.93</v>
    <v>2795</v>
    <v>45821.958333333336</v>
    <v>11</v>
    <v>24230</v>
    <v>BRL</v>
    <v>GRAZZIOTIN S.A.</v>
    <v>GRAZZIOTIN S.A.</v>
    <v>28.93</v>
    <v>29.05</v>
    <v>Rua Valentin Grazziotin, 077, Sao Cristovao, PASSO FUNDO, RIO GRANDE DO SUL, 99.060-030 BR</v>
    <v>Diversified Retail</v>
    <v>CGRA4</v>
    <v>Ações</v>
    <v>GRAZZIOTIN S.A. (BVMF:CGRA4)</v>
    <v>0.12</v>
    <v>4.1479999999999998E-3</v>
    <v>10000</v>
  </rv>
  <rv s="2">
    <v>12</v>
  </rv>
  <rv s="0">
    <v>https://www.bing.com/financeapi/forcetrigger?t=apnhoc&amp;q=BVMF%3aTRPL4&amp;form=skydnc</v>
    <v>Learn more on Bing</v>
  </rv>
  <rv s="7">
    <v>pt-BR</v>
    <v>apnhoc</v>
    <v>268435456</v>
    <v>1</v>
    <v>Da plataforma Refinitiv</v>
    <v>14</v>
    <v>15</v>
    <v>ISA ENERGIA BRASIL S.A. (BVMF:ISAE4)</v>
    <v>12</v>
    <v>16</v>
    <v>Finance</v>
    <v>5</v>
    <v>25.04</v>
    <v>20.38</v>
    <v>BVMF</v>
    <v>658883300</v>
    <v>23.29</v>
    <v>1999</v>
    <v>22.79</v>
    <v>0.71089999999999998</v>
    <v>B3 - Brazil Stock Exchange</v>
    <v>17412680000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23.1</v>
    <v>1700</v>
    <v>45821.958333333336</v>
    <v>14</v>
    <v>2107360</v>
    <v>BRL</v>
    <v>ISA ENERGIA BRASIL S.A.</v>
    <v>ISA ENERGIA BRASIL S.A.</v>
    <v>23.02</v>
    <v>23.12</v>
    <v>Av. das Nacoes Unidas 14171 - Torre Crystal, 6 andar, Vila Gertrudes, SAO PAULO, SAO PAULO, 04.794-000 BR</v>
    <v>Electrical Utilities &amp; IPPs</v>
    <v>ISAE4</v>
    <v>Ações</v>
    <v>ISA ENERGIA BRASIL S.A. (BVMF:ISAE4)</v>
    <v>0.02</v>
    <v>8.6580000000000001E-4</v>
    <v>1517500</v>
  </rv>
  <rv s="2">
    <v>15</v>
  </rv>
  <rv s="0">
    <v>https://www.bing.com/financeapi/forcetrigger?t=aplzr7&amp;q=BVMF%3aBEES3&amp;form=skydnc</v>
    <v>Learn more on Bing</v>
  </rv>
  <rv s="7">
    <v>pt-BR</v>
    <v>aplzr7</v>
    <v>268435456</v>
    <v>1</v>
    <v>Da plataforma Refinitiv</v>
    <v>14</v>
    <v>15</v>
    <v>BANESTES S.A. – Banco do Estado do Espírito Santo (BVMF:BEES3)</v>
    <v>12</v>
    <v>16</v>
    <v>Finance</v>
    <v>5</v>
    <v>9.32</v>
    <v>7.78</v>
    <v>BVMF</v>
    <v>315912900</v>
    <v>8.61</v>
    <v>1937</v>
    <v>8.5299999999999994</v>
    <v>0.42030000000000001</v>
    <v>B3 - Brazil Stock Exchange</v>
    <v>2724255000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8.61</v>
    <v>2204</v>
    <v>45821.958333333336</v>
    <v>17</v>
    <v>13180</v>
    <v>BRL</v>
    <v>BANESTES S.A. – Banco do Estado do Espírito Santo</v>
    <v>BANESTES S.A. – Banco do Estado do Espírito Santo</v>
    <v>8.5399999999999991</v>
    <v>8.58</v>
    <v>Av Princesa Isabel 574, BL B, 9 ANDAR, Centro, VITORIA, ESPIRITO SANTO, 29.010-931 BR</v>
    <v>Banking Services</v>
    <v>BEES3</v>
    <v>Ações</v>
    <v>BANESTES S.A. – Banco do Estado do Espírito Santo (BVMF:BEES3)</v>
    <v>-0.03</v>
    <v>-3.4839999999999997E-3</v>
    <v>4000</v>
  </rv>
  <rv s="2">
    <v>18</v>
  </rv>
  <rv s="0">
    <v>https://www.bing.com/financeapi/forcetrigger?t=apltyc&amp;q=BVMF%3aABEV3&amp;form=skydnc</v>
    <v>Learn more on Bing</v>
  </rv>
  <rv s="7">
    <v>pt-BR</v>
    <v>apltyc</v>
    <v>268435456</v>
    <v>1</v>
    <v>Da plataforma Refinitiv</v>
    <v>14</v>
    <v>15</v>
    <v>Ambev S.A. (BVMF:ABEV3)</v>
    <v>12</v>
    <v>16</v>
    <v>Finance</v>
    <v>5</v>
    <v>14.9</v>
    <v>10.220000000000001</v>
    <v>BVMF</v>
    <v>15761640000</v>
    <v>13.79</v>
    <v>2005</v>
    <v>13.58</v>
    <v>0.66279999999999994</v>
    <v>B3 - Brazil Stock Exchange</v>
    <v>214988769600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13.8</v>
    <v>43000</v>
    <v>45821.958333333336</v>
    <v>20</v>
    <v>21643820</v>
    <v>BRL</v>
    <v>Ambev S.A.</v>
    <v>Ambev S.A.</v>
    <v>13.68</v>
    <v>13.64</v>
    <v>Rua Dr. Renato Paes de Barros, 1.017, 4 andar, Itaim Bibi, SAO PAULO, SAO PAULO, 04.530-001 BR</v>
    <v>Beverages</v>
    <v>ABEV3</v>
    <v>Ações</v>
    <v>Ambev S.A. (BVMF:ABEV3)</v>
    <v>-0.16</v>
    <v>-1.1594E-2</v>
    <v>28243400</v>
  </rv>
  <rv s="2">
    <v>21</v>
  </rv>
  <rv s="0">
    <v>https://www.bing.com/financeapi/forcetrigger?t=apnahw&amp;q=BVMF%3aRPMG3&amp;form=skydnc</v>
    <v>Learn more on Bing</v>
  </rv>
  <rv s="8">
    <v>pt-BR</v>
    <v>apnahw</v>
    <v>268435456</v>
    <v>1</v>
    <v>Da plataforma Refinitiv</v>
    <v>17</v>
    <v>18</v>
    <v>REFINARIA DE PETROLEOS DE MANGUINHOS S/A - EM RECUPERACAO JUDICIAL (BVMF:RPMG3)</v>
    <v>12</v>
    <v>19</v>
    <v>Finance</v>
    <v>5</v>
    <v>3.31</v>
    <v>2.21</v>
    <v>BVMF</v>
    <v>67691630</v>
    <v>2.97</v>
    <v>1946</v>
    <v>2.88</v>
    <v>0.7571</v>
    <v>B3 - Brazil Stock Exchange</v>
    <v>194951894</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2.97</v>
    <v>45821.958333333336</v>
    <v>23</v>
    <v>4230</v>
    <v>BRL</v>
    <v>REFINARIA DE PETROLEOS DE MANGUINHOS S/A - EM RECUPERACAO JUDICIAL</v>
    <v>REFINARIA DE PETROLEOS DE MANGUINHOS S/A - EM RECUPERACAO JUDICIAL</v>
    <v>2.91</v>
    <v>2.88</v>
    <v>Avenida Brasil, 3.141,n/a, Benfica, RIO DE JANEIRO, RIO DE JANEIRO, 20.930-041 BR</v>
    <v>Oil &amp; Gas</v>
    <v>RPMG3</v>
    <v>Ações</v>
    <v>REFINARIA DE PETROLEOS DE MANGUINHOS S/A - EM RECUPERACAO JUDICIAL (BVMF:RPMG3)</v>
    <v>-0.09</v>
    <v>-3.0303E-2</v>
    <v>23000</v>
  </rv>
  <rv s="2">
    <v>24</v>
  </rv>
  <rv s="0">
    <v>https://www.bing.com/financeapi/forcetrigger?t=bvcw27&amp;q=BVMF%3aDMVF3&amp;form=skydnc</v>
    <v>Learn more on Bing</v>
  </rv>
  <rv s="7">
    <v>pt-BR</v>
    <v>bvcw27</v>
    <v>268435456</v>
    <v>1</v>
    <v>Da plataforma Refinitiv</v>
    <v>14</v>
    <v>15</v>
    <v>d1000 Varejo Farma Participações S.A. (BVMF:DMVF3)</v>
    <v>12</v>
    <v>16</v>
    <v>Finance</v>
    <v>5</v>
    <v>8</v>
    <v>5.03</v>
    <v>BVMF</v>
    <v>50602840</v>
    <v>5.1100000000000003</v>
    <v>2010</v>
    <v>5.03</v>
    <v>0.95630000000000004</v>
    <v>B3 - Brazil Stock Exchange</v>
    <v>256556398</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5.07</v>
    <v>4200</v>
    <v>45821.958333333336</v>
    <v>26</v>
    <v>68250</v>
    <v>BRL</v>
    <v>d1000 Varejo Farma Participações S.A.</v>
    <v>d1000 Varejo Farma Participações S.A.</v>
    <v>5.05</v>
    <v>5.07</v>
    <v>Avenida Ayrton Senna, n 2.150 Bloco P, 3 andar, Barra Da Tijuca, Rio De Janeiro, RIO DE JANEIRO, 22.775-003 BR</v>
    <v>Food &amp; Drug Retailing</v>
    <v>DMVF3</v>
    <v>Ações</v>
    <v>d1000 Varejo Farma Participações S.A. (BVMF:DMVF3)</v>
    <v>0</v>
    <v>0</v>
    <v>41500</v>
  </rv>
  <rv s="2">
    <v>27</v>
  </rv>
  <rv s="0">
    <v>https://www.bing.com/financeapi/forcetrigger?t=apncjc&amp;q=BVMF%3aSLCE3&amp;form=skydnc</v>
    <v>Learn more on Bing</v>
  </rv>
  <rv s="7">
    <v>pt-BR</v>
    <v>apncjc</v>
    <v>268435456</v>
    <v>1</v>
    <v>Da plataforma Refinitiv</v>
    <v>14</v>
    <v>15</v>
    <v>SLC Agrícola S.A. (BVMF:SLCE3)</v>
    <v>12</v>
    <v>16</v>
    <v>Finance</v>
    <v>5</v>
    <v>20.420000000000002</v>
    <v>16.22</v>
    <v>BVMF</v>
    <v>443329700</v>
    <v>18.66</v>
    <v>1977</v>
    <v>18.309999999999999</v>
    <v>0.46129999999999999</v>
    <v>B3 - Brazil Stock Exchange</v>
    <v>8197166152</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18.39</v>
    <v>6065</v>
    <v>45821.958333333336</v>
    <v>29</v>
    <v>1783070</v>
    <v>BRL</v>
    <v>SLC Agrícola S.A.</v>
    <v>SLC Agrícola S.A.</v>
    <v>18.350000000000001</v>
    <v>18.489999999999998</v>
    <v>Rua Bernardo Pires, 128,4andar, Porto Alegre, PORTO ALEGRE, RIO GRANDE DO SUL, 90.620-010 BR</v>
    <v>Food &amp; Tobacco</v>
    <v>SLCE3</v>
    <v>Ações</v>
    <v>SLC Agrícola S.A. (BVMF:SLCE3)</v>
    <v>0.1</v>
    <v>5.4379999999999993E-3</v>
    <v>1807600</v>
  </rv>
  <rv s="2">
    <v>30</v>
  </rv>
  <rv s="0">
    <v>https://www.bing.com/financeapi/forcetrigger?t=bxiatc&amp;q=BVMF%3aOPCT3&amp;form=skydnc</v>
    <v>Learn more on Bing</v>
  </rv>
  <rv s="7">
    <v>pt-BR</v>
    <v>bxiatc</v>
    <v>268435456</v>
    <v>1</v>
    <v>Da plataforma Refinitiv</v>
    <v>14</v>
    <v>15</v>
    <v>Oceanpact Serviços Maritimos S.A. (BVMF:OPCT3)</v>
    <v>12</v>
    <v>16</v>
    <v>Finance</v>
    <v>5</v>
    <v>7.26</v>
    <v>4.8499999999999996</v>
    <v>BVMF</v>
    <v>199959500</v>
    <v>6.3</v>
    <v>2007</v>
    <v>6.19</v>
    <v>1.2490000000000001</v>
    <v>B3 - Brazil Stock Exchange</v>
    <v>1257746000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6.29</v>
    <v>2162</v>
    <v>45821.958333333336</v>
    <v>32</v>
    <v>248960</v>
    <v>BRL</v>
    <v>Oceanpact Serviços Maritimos S.A.</v>
    <v>Oceanpact Serviços Maritimos S.A.</v>
    <v>6.21</v>
    <v>6.3</v>
    <v>Rua da Gloria, n 122, salas 801 e 802 10 pavimento salas 901 e 902, Gloria, RIO DE JANEIRO, RIO DE JANEIRO, 20.241-180 BR</v>
    <v>Professional &amp; Commercial Services</v>
    <v>OPCT3</v>
    <v>Ações</v>
    <v>Oceanpact Serviços Maritimos S.A. (BVMF:OPCT3)</v>
    <v>0.01</v>
    <v>1.5900000000000001E-3</v>
    <v>167300</v>
  </rv>
  <rv s="2">
    <v>33</v>
  </rv>
  <rv s="0">
    <v>http://en.wikipedia.org/wiki/Public_domain</v>
    <v>Public domain</v>
  </rv>
  <rv s="0">
    <v>http://en.wikipedia.org/wiki/Santander_Brasil</v>
    <v>Wikipedia</v>
  </rv>
  <rv s="9">
    <v>35</v>
    <v>36</v>
  </rv>
  <rv s="10">
    <v>25</v>
    <v>https://www.bing.com/th?id=AMMS_e9bd359a34230065992cf9d9d217596e&amp;qlt=95</v>
    <v>37</v>
    <v>0</v>
    <v>https://www.bing.com/images/search?form=xlimg&amp;q=santander+brasil</v>
    <v>Image of Banco Santander (Brasil) S.A.</v>
  </rv>
  <rv s="0">
    <v>https://www.bing.com/financeapi/forcetrigger?t=apnaz2&amp;q=BVMF%3aSANB4&amp;form=skydnc</v>
    <v>Learn more on Bing</v>
  </rv>
  <rv s="11">
    <v>pt-BR</v>
    <v>apnaz2</v>
    <v>268435456</v>
    <v>1</v>
    <v>Da plataforma Refinitiv</v>
    <v>20</v>
    <v>21</v>
    <v>Banco Santander (Brasil) S.A. (BVMF:SANB4)</v>
    <v>23</v>
    <v>24</v>
    <v>Finance</v>
    <v>5</v>
    <v>16.02</v>
    <v>11.73</v>
    <v>BVMF</v>
    <v>3749266000</v>
    <v>15.82</v>
    <v>1985</v>
    <v>15.43</v>
    <v>1.0891</v>
    <v>B3 - Brazil Stock Exchange</v>
    <v>111186600000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15.5</v>
    <v>55035</v>
    <v>45821.958333333336</v>
    <v>38</v>
    <v>39</v>
    <v>79330</v>
    <v>BRL</v>
    <v>Banco Santander (Brasil) S.A.</v>
    <v>Banco Santander (Brasil) S.A.</v>
    <v>15.5</v>
    <v>15.5</v>
    <v>Avenida Presidente Juscelino Kubitschek, n 2041 CJ 281, Bloco A, Vila Nova Conceicao, SAO PAULO, SAO PAULO, 04.543-011 BR</v>
    <v>Banking Services</v>
    <v>SANB4</v>
    <v>Ações</v>
    <v>Banco Santander (Brasil) S.A. (BVMF:SANB4)</v>
    <v>0</v>
    <v>0</v>
    <v>62700</v>
  </rv>
  <rv s="2">
    <v>40</v>
  </rv>
  <rv s="0">
    <v>https://www.bing.com/financeapi/forcetrigger?t=apnlr7&amp;q=BVMF%3aWHRL4&amp;form=skydnc</v>
    <v>Learn more on Bing</v>
  </rv>
  <rv s="7">
    <v>pt-BR</v>
    <v>apnlr7</v>
    <v>268435456</v>
    <v>1</v>
    <v>Da plataforma Refinitiv</v>
    <v>14</v>
    <v>15</v>
    <v>WHIRLPOOL S.A. (BVMF:WHRL4)</v>
    <v>12</v>
    <v>16</v>
    <v>Finance</v>
    <v>5</v>
    <v>5.18</v>
    <v>3.7</v>
    <v>BVMF</v>
    <v>1502786000</v>
    <v>5.08</v>
    <v>1957</v>
    <v>4.9000000000000004</v>
    <v>0.56899999999999995</v>
    <v>B3 - Brazil Stock Exchange</v>
    <v>7486108000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5.05</v>
    <v>8000</v>
    <v>45821.958333333336</v>
    <v>42</v>
    <v>19910</v>
    <v>BRL</v>
    <v>WHIRLPOOL S.A.</v>
    <v>WHIRLPOOL S.A.</v>
    <v>5.05</v>
    <v>4.95</v>
    <v>Rua Olympia Semeraro, 675, 1 Andar Sala 06 PA, Jardim Santa Emilia, SAO PAULO, SAO PAULO, 04.183-090 BR</v>
    <v>Household Goods</v>
    <v>WHRL4</v>
    <v>Ações</v>
    <v>WHIRLPOOL S.A. (BVMF:WHRL4)</v>
    <v>-0.1</v>
    <v>-1.9802E-2</v>
    <v>40200</v>
  </rv>
  <rv s="2">
    <v>43</v>
  </rv>
  <rv s="0">
    <v>https://www.bing.com/financeapi/forcetrigger?t=apnfmw&amp;q=BVMF%3aTELB4&amp;form=skydnc</v>
    <v>Learn more on Bing</v>
  </rv>
  <rv s="7">
    <v>pt-BR</v>
    <v>apnfmw</v>
    <v>268435456</v>
    <v>1</v>
    <v>Da plataforma Refinitiv</v>
    <v>14</v>
    <v>15</v>
    <v>Telecomunicações Brasileiras S.A. – TELEBRAS (BVMF:TELB4)</v>
    <v>12</v>
    <v>16</v>
    <v>Finance</v>
    <v>5</v>
    <v>10.7</v>
    <v>6.53</v>
    <v>BVMF</v>
    <v>101983400</v>
    <v>8.6999999999999993</v>
    <v>1972</v>
    <v>8.64</v>
    <v>1.1634</v>
    <v>B3 - Brazil Stock Exchange</v>
    <v>1223514000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8.67</v>
    <v>469</v>
    <v>45820.947916666664</v>
    <v>45</v>
    <v>1380</v>
    <v>BRL</v>
    <v>Telecomunicações Brasileiras S.A. – TELEBRAS</v>
    <v>Telecomunicações Brasileiras S.A. – TELEBRAS</v>
    <v>8.6999999999999993</v>
    <v>8.64</v>
    <v>SIG Quadra 4 lotes 075, 083, 125 e 175, Bloco A, Salas 211 a 224, Sig, BRASILIA, DISTRITO FEDERAL, 70.610-440 BR</v>
    <v>Telecommunications Services</v>
    <v>TELB4</v>
    <v>Ações</v>
    <v>Telecomunicações Brasileiras S.A. – TELEBRAS (BVMF:TELB4)</v>
    <v>-0.03</v>
    <v>-3.4599999999999995E-3</v>
    <v>200</v>
  </rv>
  <rv s="2">
    <v>46</v>
  </rv>
  <rv s="0">
    <v>https://www.bing.com/financeapi/forcetrigger?t=apn4gh&amp;q=BVMF%3aPETR4&amp;form=skydnc</v>
    <v>Learn more on Bing</v>
  </rv>
  <rv s="7">
    <v>pt-BR</v>
    <v>apn4gh</v>
    <v>268435456</v>
    <v>1</v>
    <v>Da plataforma Refinitiv</v>
    <v>14</v>
    <v>15</v>
    <v>Petróleo Brasileiro S.A. (Petrobras) (BVMF:PETR4)</v>
    <v>12</v>
    <v>16</v>
    <v>Finance</v>
    <v>5</v>
    <v>36.67</v>
    <v>28.79</v>
    <v>BVMF</v>
    <v>12888730000</v>
    <v>33.17</v>
    <v>1953</v>
    <v>32.17</v>
    <v>0.99929999999999997</v>
    <v>B3 - Brazil Stock Exchange</v>
    <v>427822800000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31.75</v>
    <v>49185</v>
    <v>45821.958333333336</v>
    <v>48</v>
    <v>42708120</v>
    <v>BRL</v>
    <v>Petróleo Brasileiro S.A. (Petrobras)</v>
    <v>Petróleo Brasileiro S.A. (Petrobras)</v>
    <v>33.11</v>
    <v>32.53</v>
    <v>Av. Republica do Chile, n 65, 24 andar, Centro, RIO DE JANEIRO, RIO DE JANEIRO, 20.031-912 BR</v>
    <v>Oil &amp; Gas</v>
    <v>PETR4</v>
    <v>Ações</v>
    <v>Petróleo Brasileiro S.A. (Petrobras) (BVMF:PETR4)</v>
    <v>0.78</v>
    <v>2.4567000000000002E-2</v>
    <v>74819900</v>
  </rv>
  <rv s="2">
    <v>49</v>
  </rv>
  <rv s="0">
    <v>https://www.bing.com/financeapi/forcetrigger?t=bzt9p2&amp;q=BVMF%3aASAI3&amp;form=skydnc</v>
    <v>Learn more on Bing</v>
  </rv>
  <rv s="7">
    <v>pt-BR</v>
    <v>bzt9p2</v>
    <v>268435456</v>
    <v>1</v>
    <v>Da plataforma Refinitiv</v>
    <v>14</v>
    <v>15</v>
    <v>Sendas Distribuidora S.A. (BVMF:ASAI3)</v>
    <v>12</v>
    <v>16</v>
    <v>Finance</v>
    <v>5</v>
    <v>12.04</v>
    <v>4.96</v>
    <v>BVMF</v>
    <v>1352245000</v>
    <v>11.15</v>
    <v>2003</v>
    <v>10.71</v>
    <v>1.4248000000000001</v>
    <v>B3 - Brazil Stock Exchange</v>
    <v>15145150000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11.2</v>
    <v>87000</v>
    <v>45821.958333333336</v>
    <v>51</v>
    <v>12565350</v>
    <v>BRL</v>
    <v>Sendas Distribuidora S.A.</v>
    <v>Sendas Distribuidora S.A.</v>
    <v>11.08</v>
    <v>10.91</v>
    <v>Avenida Ayrton Senna, 6.000 Jacarepagua, RIO DE JANEIRO, RIO DE JANEIRO, 22.775-005 BR</v>
    <v>Food &amp; Drug Retailing</v>
    <v>ASAI3</v>
    <v>Ações</v>
    <v>Sendas Distribuidora S.A. (BVMF:ASAI3)</v>
    <v>-0.28999999999999998</v>
    <v>-2.5893000000000003E-2</v>
    <v>13141100</v>
  </rv>
  <rv s="2">
    <v>52</v>
  </rv>
  <rv s="0">
    <v>https://www.bing.com/financeapi/forcetrigger?t=apncdm&amp;q=BVMF%3aSHUL4&amp;form=skydnc</v>
    <v>Learn more on Bing</v>
  </rv>
  <rv s="7">
    <v>pt-BR</v>
    <v>apncdm</v>
    <v>268435456</v>
    <v>1</v>
    <v>Da plataforma Refinitiv</v>
    <v>14</v>
    <v>15</v>
    <v>SCHULZ S.A. (BVMF:SHUL4)</v>
    <v>12</v>
    <v>16</v>
    <v>Finance</v>
    <v>5</v>
    <v>6.68</v>
    <v>5.01</v>
    <v>BVMF</v>
    <v>357374800</v>
    <v>5.35</v>
    <v>1963</v>
    <v>5.29</v>
    <v>0.60599999999999998</v>
    <v>B3 - Brazil Stock Exchange</v>
    <v>1088908000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5.32</v>
    <v>3699</v>
    <v>45821.958333333336</v>
    <v>54</v>
    <v>368970</v>
    <v>BRL</v>
    <v>SCHULZ S.A.</v>
    <v>SCHULZ S.A.</v>
    <v>5.35</v>
    <v>5.31</v>
    <v>Rua: Dona Francisca, 6901, Distrito Industrial, JOINVILLE, SANTA CATARINA, 89.219-600 BR</v>
    <v>Machinery, Equipment &amp; Components</v>
    <v>SHUL4</v>
    <v>Ações</v>
    <v>SCHULZ S.A. (BVMF:SHUL4)</v>
    <v>-0.01</v>
    <v>-1.8799999999999999E-3</v>
    <v>214500</v>
  </rv>
  <rv s="2">
    <v>55</v>
  </rv>
  <rv s="0">
    <v>https://www.bing.com/financeapi/forcetrigger?t=apmuyc&amp;q=BVMF%3aLEVE3&amp;form=skydnc</v>
    <v>Learn more on Bing</v>
  </rv>
  <rv s="7">
    <v>pt-BR</v>
    <v>apmuyc</v>
    <v>268435456</v>
    <v>1</v>
    <v>Da plataforma Refinitiv</v>
    <v>14</v>
    <v>15</v>
    <v>MAHLE Metal Leve S.A (BVMF:LEVE3)</v>
    <v>12</v>
    <v>16</v>
    <v>Finance</v>
    <v>5</v>
    <v>32.83</v>
    <v>24.46</v>
    <v>BVMF</v>
    <v>135539000</v>
    <v>30.56</v>
    <v>1950</v>
    <v>30.11</v>
    <v>0.73460000000000003</v>
    <v>B3 - Brazil Stock Exchange</v>
    <v>4100054750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30.56</v>
    <v>7560</v>
    <v>45821.958333333336</v>
    <v>57</v>
    <v>255350</v>
    <v>BRL</v>
    <v>MAHLE Metal Leve S.A</v>
    <v>MAHLE Metal Leve S.A</v>
    <v>30.56</v>
    <v>30.25</v>
    <v>Av. Ernst MAHLE, 2000, Mombaca, MOGI GUACU, SAO PAULO, 13.849-050 BR</v>
    <v>Automobiles &amp; Auto Parts</v>
    <v>LEVE3</v>
    <v>Ações</v>
    <v>MAHLE Metal Leve S.A (BVMF:LEVE3)</v>
    <v>-0.31</v>
    <v>-1.0144E-2</v>
    <v>156000</v>
  </rv>
  <rv s="2">
    <v>58</v>
  </rv>
  <rv s="0">
    <v>https://www.bing.com/financeapi/forcetrigger?t=apmb7w&amp;q=BVMF%3aCPLE6&amp;form=skydnc</v>
    <v>Learn more on Bing</v>
  </rv>
  <rv s="7">
    <v>pt-BR</v>
    <v>apmb7w</v>
    <v>268435456</v>
    <v>1</v>
    <v>Da plataforma Refinitiv</v>
    <v>14</v>
    <v>15</v>
    <v>Companhia Paranaense de Energia - Copel (BVMF:CPLE6)</v>
    <v>12</v>
    <v>16</v>
    <v>Finance</v>
    <v>5</v>
    <v>12.88</v>
    <v>8.31</v>
    <v>BVMF</v>
    <v>2982811000</v>
    <v>12.44</v>
    <v>1954</v>
    <v>12.22</v>
    <v>0.85450000000000004</v>
    <v>B3 - Brazil Stock Exchange</v>
    <v>35996820000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12.46</v>
    <v>4396</v>
    <v>45821.958333333336</v>
    <v>60</v>
    <v>12903270</v>
    <v>BRL</v>
    <v>Companhia Paranaense de Energia - Copel</v>
    <v>Companhia Paranaense de Energia - Copel</v>
    <v>12.37</v>
    <v>12.39</v>
    <v>Rua Jose Izidoro Biazetto, 158, Orleans, CURITIBA, PARANA, 81.200-240 BR</v>
    <v>Electrical Utilities &amp; IPPs</v>
    <v>CPLE6</v>
    <v>Ações</v>
    <v>Companhia Paranaense de Energia - Copel (BVMF:CPLE6)</v>
    <v>-7.0000000000000007E-2</v>
    <v>-5.6179999999999997E-3</v>
    <v>9983000</v>
  </rv>
  <rv s="2">
    <v>61</v>
  </rv>
  <rv s="0">
    <v>https://www.bing.com/financeapi/forcetrigger?t=apm7rw&amp;q=BVMF%3aCEBR6&amp;form=skydnc</v>
    <v>Learn more on Bing</v>
  </rv>
  <rv s="7">
    <v>pt-BR</v>
    <v>apm7rw</v>
    <v>268435456</v>
    <v>1</v>
    <v>Da plataforma Refinitiv</v>
    <v>14</v>
    <v>15</v>
    <v>COMPANHIA ENERGÉTICA DE BRASÍLIA - CEB (BVMF:CEBR6)</v>
    <v>12</v>
    <v>16</v>
    <v>Finance</v>
    <v>5</v>
    <v>22.35</v>
    <v>14.98</v>
    <v>BVMF</v>
    <v>72081910</v>
    <v>21.5</v>
    <v>1968</v>
    <v>20.82</v>
    <v>0.69099999999999995</v>
    <v>B3 - Brazil Stock Exchange</v>
    <v>1438606000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21.72</v>
    <v>845</v>
    <v>45821.958333333336</v>
    <v>63</v>
    <v>3630</v>
    <v>BRL</v>
    <v>COMPANHIA ENERGÉTICA DE BRASÍLIA - CEB</v>
    <v>COMPANHIA ENERGÉTICA DE BRASÍLIA - CEB</v>
    <v>21.5</v>
    <v>21.1</v>
    <v>SGAN Quadra 601, Bloco H, Salas 2010 a 2023 Edificio ION, Asa Norte, BRASILIA, DISTRITO FEDERAL, 70.830-010 BR</v>
    <v>Electrical Utilities &amp; IPPs</v>
    <v>CEBR6</v>
    <v>Ações</v>
    <v>COMPANHIA ENERGÉTICA DE BRASÍLIA - CEB (BVMF:CEBR6)</v>
    <v>-0.62</v>
    <v>-2.8544999999999997E-2</v>
    <v>3700</v>
  </rv>
  <rv s="2">
    <v>64</v>
  </rv>
  <rv s="0">
    <v>https://www.bing.com/financeapi/forcetrigger?t=awjx27&amp;q=BVMF%3aPRNR3&amp;form=skydnc</v>
    <v>Learn more on Bing</v>
  </rv>
  <rv s="7">
    <v>pt-BR</v>
    <v>awjx27</v>
    <v>268435456</v>
    <v>1</v>
    <v>Da plataforma Refinitiv</v>
    <v>14</v>
    <v>15</v>
    <v>PRINER SERVIÇOS INDUSTRIAIS S.A. (BVMF:PRNR3)</v>
    <v>12</v>
    <v>16</v>
    <v>Finance</v>
    <v>5</v>
    <v>17.920000000000002</v>
    <v>9.7200000000000006</v>
    <v>BVMF</v>
    <v>46720760</v>
    <v>15.29</v>
    <v>2013</v>
    <v>15.03</v>
    <v>1.0681</v>
    <v>B3 - Brazil Stock Exchange</v>
    <v>705950683</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15.33</v>
    <v>6994</v>
    <v>45821.958333333336</v>
    <v>66</v>
    <v>235400</v>
    <v>BRL</v>
    <v>PRINER SERVIÇOS INDUSTRIAIS S.A.</v>
    <v>PRINER SERVIÇOS INDUSTRIAIS S.A.</v>
    <v>15.15</v>
    <v>15.11</v>
    <v>Av. Geremario Dantas, 1400 2. Piso - Quality Shopping - Freguesia Jacarepagua, RIO DE JANEIRO, RIO DE JANEIRO BR</v>
    <v>Professional &amp; Commercial Services</v>
    <v>PRNR3</v>
    <v>Ações</v>
    <v>PRINER SERVIÇOS INDUSTRIAIS S.A. (BVMF:PRNR3)</v>
    <v>-0.22</v>
    <v>-1.4351000000000001E-2</v>
    <v>160500</v>
  </rv>
  <rv s="2">
    <v>67</v>
  </rv>
  <rv s="0">
    <v>https://www.bing.com/financeapi/forcetrigger?t=apma5r&amp;q=BVMF%3aCMIG4&amp;form=skydnc</v>
    <v>Learn more on Bing</v>
  </rv>
  <rv s="7">
    <v>pt-BR</v>
    <v>apma5r</v>
    <v>268435456</v>
    <v>1</v>
    <v>Da plataforma Refinitiv</v>
    <v>14</v>
    <v>15</v>
    <v>Companhia Energética de Minas Gerais - CEMIG (BVMF:CMIG4)</v>
    <v>12</v>
    <v>16</v>
    <v>Finance</v>
    <v>5</v>
    <v>11.39</v>
    <v>8.4</v>
    <v>BVMF</v>
    <v>2861782000</v>
    <v>10.65</v>
    <v>1952</v>
    <v>10.41</v>
    <v>0.81599999999999995</v>
    <v>B3 - Brazil Stock Exchange</v>
    <v>34563630000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10.53</v>
    <v>5028</v>
    <v>45821.958333333336</v>
    <v>69</v>
    <v>12635580</v>
    <v>BRL</v>
    <v>Companhia Energética de Minas Gerais - CEMIG</v>
    <v>Companhia Energética de Minas Gerais - CEMIG</v>
    <v>10.5</v>
    <v>10.57</v>
    <v>Avenida Barbacena, 1200, 16 / B1, Santo Agostinho, BELO HORIZONTE, MINAS GERAIS, 30.190-131 BR</v>
    <v>Electrical Utilities &amp; IPPs</v>
    <v>CMIG4</v>
    <v>Ações</v>
    <v>Companhia Energética de Minas Gerais - CEMIG (BVMF:CMIG4)</v>
    <v>0.04</v>
    <v>3.7990000000000003E-3</v>
    <v>10100800</v>
  </rv>
  <rv s="2">
    <v>70</v>
  </rv>
  <rv s="0">
    <v>https://www.bing.com/financeapi/forcetrigger?t=aplzu2&amp;q=BVMF%3aBEES4&amp;form=skydnc</v>
    <v>Learn more on Bing</v>
  </rv>
  <rv s="7">
    <v>pt-BR</v>
    <v>aplzu2</v>
    <v>268435456</v>
    <v>1</v>
    <v>Da plataforma Refinitiv</v>
    <v>14</v>
    <v>15</v>
    <v>BANESTES S.A. – Banco do Estado do Espírito Santo (BVMF:BEES4)</v>
    <v>12</v>
    <v>16</v>
    <v>Finance</v>
    <v>5</v>
    <v>9.9499999999999993</v>
    <v>7.93</v>
    <v>BVMF</v>
    <v>315912900</v>
    <v>8.67</v>
    <v>1937</v>
    <v>8.61</v>
    <v>0.42030000000000001</v>
    <v>B3 - Brazil Stock Exchange</v>
    <v>2724255000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8.66</v>
    <v>2204</v>
    <v>45821.958333333336</v>
    <v>72</v>
    <v>13180</v>
    <v>BRL</v>
    <v>BANESTES S.A. – Banco do Estado do Espírito Santo</v>
    <v>BANESTES S.A. – Banco do Estado do Espírito Santo</v>
    <v>8.61</v>
    <v>8.65</v>
    <v>Av Princesa Isabel 574, BL B, 9 ANDAR, Centro, VITORIA, ESPIRITO SANTO, 29.010-931 BR</v>
    <v>Banking Services</v>
    <v>BEES4</v>
    <v>Ações</v>
    <v>BANESTES S.A. – Banco do Estado do Espírito Santo (BVMF:BEES4)</v>
    <v>-0.01</v>
    <v>-1.155E-3</v>
    <v>1200</v>
  </rv>
  <rv s="2">
    <v>73</v>
  </rv>
  <rv s="0">
    <v>https://www.bing.com/financeapi/forcetrigger?t=apn5a2&amp;q=BVMF%3aPOMO3&amp;form=skydnc</v>
    <v>Learn more on Bing</v>
  </rv>
  <rv s="7">
    <v>pt-BR</v>
    <v>apn5a2</v>
    <v>268435456</v>
    <v>1</v>
    <v>Da plataforma Refinitiv</v>
    <v>14</v>
    <v>15</v>
    <v>MARCOPOLO S.A. (BVMF:POMO3)</v>
    <v>12</v>
    <v>16</v>
    <v>Finance</v>
    <v>5</v>
    <v>6.83</v>
    <v>4.07</v>
    <v>BVMF</v>
    <v>1136271000</v>
    <v>6.28</v>
    <v>1949</v>
    <v>6.06</v>
    <v>0.7883</v>
    <v>B3 - Brazil Stock Exchange</v>
    <v>8064896000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6.19</v>
    <v>16027</v>
    <v>45821.958333333336</v>
    <v>75</v>
    <v>9892170</v>
    <v>BRL</v>
    <v>MARCOPOLO S.A.</v>
    <v>MARCOPOLO S.A.</v>
    <v>6.18</v>
    <v>6.2</v>
    <v>Avenida Marcopolo,280, Planalto, CAXIAS DO SUL, RIO GRANDE DO SUL, 95.086-200 BR</v>
    <v>Automobiles &amp; Auto Parts</v>
    <v>POMO3</v>
    <v>Ações</v>
    <v>MARCOPOLO S.A. (BVMF:POMO3)</v>
    <v>0.01</v>
    <v>1.616E-3</v>
    <v>332200</v>
  </rv>
  <rv s="2">
    <v>76</v>
  </rv>
  <rv s="0">
    <v>https://www.bing.com/financeapi/forcetrigger?t=bxgdk2&amp;q=BVMF%3aBMOB3&amp;form=skydnc</v>
    <v>Learn more on Bing</v>
  </rv>
  <rv s="8">
    <v>pt-BR</v>
    <v>bxgdk2</v>
    <v>268435456</v>
    <v>1</v>
    <v>Da plataforma Refinitiv</v>
    <v>17</v>
    <v>18</v>
    <v>BEMOBI MOBILE TECH S.A. (BVMF:BMOB3)</v>
    <v>12</v>
    <v>19</v>
    <v>Finance</v>
    <v>5</v>
    <v>20.37</v>
    <v>11.73</v>
    <v>BVMF</v>
    <v>85608390</v>
    <v>19.64</v>
    <v>2007</v>
    <v>19</v>
    <v>1.2388999999999999</v>
    <v>B3 - Brazil Stock Exchange</v>
    <v>1635120249</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19.45</v>
    <v>45821.958333333336</v>
    <v>78</v>
    <v>372580</v>
    <v>BRL</v>
    <v>BEMOBI MOBILE TECH S.A.</v>
    <v>BEMOBI MOBILE TECH S.A.</v>
    <v>19.64</v>
    <v>19.100000000000001</v>
    <v>Av. Barao de Tefe, n. 27 12 Andar, Saude, RIO DE JANEIRO, RIO DE JANEIRO, 20.220-460 BR</v>
    <v>Software &amp; IT Services</v>
    <v>BMOB3</v>
    <v>Ações</v>
    <v>BEMOBI MOBILE TECH S.A. (BVMF:BMOB3)</v>
    <v>-0.35</v>
    <v>-1.7995000000000001E-2</v>
    <v>166700</v>
  </rv>
  <rv s="2">
    <v>79</v>
  </rv>
  <rv s="0">
    <v>https://www.bing.com/financeapi/forcetrigger?t=apmzur&amp;q=BVMF%3aMTSA4&amp;form=skydnc</v>
    <v>Learn more on Bing</v>
  </rv>
  <rv s="7">
    <v>pt-BR</v>
    <v>apmzur</v>
    <v>268435456</v>
    <v>1</v>
    <v>Da plataforma Refinitiv</v>
    <v>14</v>
    <v>15</v>
    <v>METISA METALURGICA TIMBOENSE S.A. (BVMF:MTSA4)</v>
    <v>12</v>
    <v>16</v>
    <v>Finance</v>
    <v>5</v>
    <v>43.99</v>
    <v>30.42</v>
    <v>BVMF</v>
    <v>9137260</v>
    <v>42.15</v>
    <v>1942</v>
    <v>41.5</v>
    <v>0.52249999999999996</v>
    <v>B3 - Brazil Stock Exchange</v>
    <v>519823700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41.77</v>
    <v>1065</v>
    <v>45821.958333333336</v>
    <v>81</v>
    <v>2700</v>
    <v>BRL</v>
    <v>METISA METALURGICA TIMBOENSE S.A.</v>
    <v>METISA METALURGICA TIMBOENSE S.A.</v>
    <v>41.5</v>
    <v>42.15</v>
    <v>Rua Fritz Lorenz, 2442, Distrito Industrial, TIMBO, SANTA CATARINA, 89.120-000 BR</v>
    <v>Machinery, Equipment &amp; Components</v>
    <v>MTSA4</v>
    <v>Ações</v>
    <v>METISA METALURGICA TIMBOENSE S.A. (BVMF:MTSA4)</v>
    <v>0.38</v>
    <v>9.0969999999999992E-3</v>
    <v>1100</v>
  </rv>
  <rv s="2">
    <v>82</v>
  </rv>
  <rv s="0">
    <v>https://www.bing.com/financeapi/forcetrigger?t=bgnmm7&amp;q=BVMF%3aCAMB3&amp;form=skydnc</v>
    <v>Learn more on Bing</v>
  </rv>
  <rv s="7">
    <v>pt-BR</v>
    <v>bgnmm7</v>
    <v>268435456</v>
    <v>1</v>
    <v>Da plataforma Refinitiv</v>
    <v>14</v>
    <v>15</v>
    <v>CAMBUCI S.A. (BVMF:CAMB3)</v>
    <v>12</v>
    <v>16</v>
    <v>Finance</v>
    <v>5</v>
    <v>12.33</v>
    <v>9.17</v>
    <v>BVMF</v>
    <v>42275080</v>
    <v>9.82</v>
    <v>1945</v>
    <v>9.6999999999999993</v>
    <v>0.14099999999999999</v>
    <v>B3 - Brazil Stock Exchange</v>
    <v>410913777</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9.7200000000000006</v>
    <v>2078</v>
    <v>45821.958333333336</v>
    <v>84</v>
    <v>87500</v>
    <v>BRL</v>
    <v>CAMBUCI S.A.</v>
    <v>CAMBUCI S.A.</v>
    <v>9.73</v>
    <v>9.7200000000000006</v>
    <v>Avenida Getulio Vargas, 930,Escritorio, Marmeleiro, SAO PAULO, SAO PAULO, 18.130-430 BR</v>
    <v>Leisure Products</v>
    <v>CAMB3</v>
    <v>Ações</v>
    <v>CAMBUCI S.A. (BVMF:CAMB3)</v>
    <v>0</v>
    <v>0</v>
    <v>4300</v>
  </rv>
  <rv s="2">
    <v>85</v>
  </rv>
  <rv s="0">
    <v>https://www.bing.com/financeapi/forcetrigger?t=apm3m7&amp;q=BVMF%3aBRAP3&amp;form=skydnc</v>
    <v>Learn more on Bing</v>
  </rv>
  <rv s="8">
    <v>pt-BR</v>
    <v>apm3m7</v>
    <v>268435456</v>
    <v>1</v>
    <v>Da plataforma Refinitiv</v>
    <v>17</v>
    <v>18</v>
    <v>Bradespar S.A (BVMF:BRAP3)</v>
    <v>12</v>
    <v>19</v>
    <v>Finance</v>
    <v>5</v>
    <v>17.239999999999998</v>
    <v>14</v>
    <v>BVMF</v>
    <v>393096600</v>
    <v>14.7</v>
    <v>2000</v>
    <v>14.45</v>
    <v>0.96609999999999996</v>
    <v>B3 - Brazil Stock Exchange</v>
    <v>6076995000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14.7</v>
    <v>45821.958333333336</v>
    <v>87</v>
    <v>3236820</v>
    <v>BRL</v>
    <v>Bradespar S.A</v>
    <v>Bradespar S.A</v>
    <v>14.7</v>
    <v>14.5</v>
    <v>Avenida Paulista, 1.450,9 andar, Cerqueira Cesar, SAO PAULO, SAO PAULO, 01.310-917 BR</v>
    <v>Metals &amp; Mining</v>
    <v>BRAP3</v>
    <v>Ações</v>
    <v>Bradespar S.A (BVMF:BRAP3)</v>
    <v>-0.2</v>
    <v>-1.3605000000000001E-2</v>
    <v>84700</v>
  </rv>
  <rv s="2">
    <v>88</v>
  </rv>
  <rv s="0">
    <v>https://www.bing.com/financeapi/forcetrigger?t=apmpkr&amp;q=BVMF%3aHAGA4&amp;form=skydnc</v>
    <v>Learn more on Bing</v>
  </rv>
  <rv s="8">
    <v>pt-BR</v>
    <v>apmpkr</v>
    <v>268435456</v>
    <v>1</v>
    <v>Da plataforma Refinitiv</v>
    <v>17</v>
    <v>18</v>
    <v>HAGA S.A. INDUSTRIA E COMERCIO (BVMF:HAGA4)</v>
    <v>12</v>
    <v>19</v>
    <v>Finance</v>
    <v>5</v>
    <v>1.39</v>
    <v>1.1299999999999999</v>
    <v>BVMF</v>
    <v>11900000</v>
    <v>1.24</v>
    <v>1937</v>
    <v>1.2</v>
    <v>0.9889</v>
    <v>B3 - Brazil Stock Exchange</v>
    <v>17691330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1.23</v>
    <v>45821.958333333336</v>
    <v>90</v>
    <v>7960</v>
    <v>BRL</v>
    <v>HAGA S.A. INDUSTRIA E COMERCIO</v>
    <v>HAGA S.A. INDUSTRIA E COMERCIO</v>
    <v>1.24</v>
    <v>1.23</v>
    <v>Avenida Engenheiro Hans Gaiser, 26,Predio, Centro, NOVA FRIBURGO, RIO DE JANEIRO, 28.605-220 BR</v>
    <v>Specialty Retailers</v>
    <v>HAGA4</v>
    <v>Ações</v>
    <v>HAGA S.A. INDUSTRIA E COMERCIO (BVMF:HAGA4)</v>
    <v>0</v>
    <v>0</v>
    <v>400</v>
  </rv>
  <rv s="2">
    <v>91</v>
  </rv>
  <rv s="0">
    <v>https://www.bing.com/financeapi/forcetrigger?t=apnaw7&amp;q=BVMF%3aSANB3&amp;form=skydnc</v>
    <v>Learn more on Bing</v>
  </rv>
  <rv s="11">
    <v>pt-BR</v>
    <v>apnaw7</v>
    <v>268435456</v>
    <v>1</v>
    <v>Da plataforma Refinitiv</v>
    <v>20</v>
    <v>21</v>
    <v>Banco Santander (Brasil) S.A. (BVMF:SANB3)</v>
    <v>23</v>
    <v>24</v>
    <v>Finance</v>
    <v>5</v>
    <v>14.7</v>
    <v>10.52</v>
    <v>BVMF</v>
    <v>3749266000</v>
    <v>14.35</v>
    <v>1985</v>
    <v>14.01</v>
    <v>1.0891</v>
    <v>B3 - Brazil Stock Exchange</v>
    <v>111186600000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14.18</v>
    <v>55035</v>
    <v>45821.958333333336</v>
    <v>38</v>
    <v>93</v>
    <v>79330</v>
    <v>BRL</v>
    <v>Banco Santander (Brasil) S.A.</v>
    <v>Banco Santander (Brasil) S.A.</v>
    <v>14.2</v>
    <v>14.13</v>
    <v>Avenida Presidente Juscelino Kubitschek, n 2041 CJ 281, Bloco A, Vila Nova Conceicao, SAO PAULO, SAO PAULO, 04.543-011 BR</v>
    <v>Banking Services</v>
    <v>SANB3</v>
    <v>Ações</v>
    <v>Banco Santander (Brasil) S.A. (BVMF:SANB3)</v>
    <v>-0.05</v>
    <v>-3.5260000000000001E-3</v>
    <v>74400</v>
  </rv>
  <rv s="2">
    <v>94</v>
  </rv>
  <rv s="0">
    <v>https://www.bing.com/financeapi/forcetrigger?t=apm6pr&amp;q=BVMF%3aCARD3&amp;form=skydnc</v>
    <v>Learn more on Bing</v>
  </rv>
  <rv s="7">
    <v>pt-BR</v>
    <v>apm6pr</v>
    <v>268435456</v>
    <v>1</v>
    <v>Da plataforma Refinitiv</v>
    <v>14</v>
    <v>15</v>
    <v>CSU DIGITAL S.A. (BVMF:CSUD3)</v>
    <v>12</v>
    <v>16</v>
    <v>Finance</v>
    <v>5</v>
    <v>19.61</v>
    <v>13.58</v>
    <v>BVMF</v>
    <v>41800000</v>
    <v>18.11</v>
    <v>1997</v>
    <v>17.850000000000001</v>
    <v>0.89290000000000003</v>
    <v>B3 - Brazil Stock Exchange</v>
    <v>746130000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18.21</v>
    <v>6600</v>
    <v>45821.958333333336</v>
    <v>96</v>
    <v>26790</v>
    <v>BRL</v>
    <v>CSU DIGITAL S.A.</v>
    <v>CSU DIGITAL S.A.</v>
    <v>18.11</v>
    <v>17.850000000000001</v>
    <v>Rua Piaui 136, Nova Aldeinha, BARUERI, SAO PAULO, 06.440-182 BR</v>
    <v>Banking Services</v>
    <v>CSUD3</v>
    <v>Ações</v>
    <v>CSU DIGITAL S.A. (BVMF:CSUD3)</v>
    <v>-0.36</v>
    <v>-1.9769000000000002E-2</v>
    <v>20800</v>
  </rv>
  <rv s="2">
    <v>97</v>
  </rv>
  <rv s="0">
    <v>https://www.bing.com/financeapi/forcetrigger?t=c13h5r&amp;q=BVMF%3aBLAU3&amp;form=skydnc</v>
    <v>Learn more on Bing</v>
  </rv>
  <rv s="7">
    <v>pt-BR</v>
    <v>c13h5r</v>
    <v>268435456</v>
    <v>1</v>
    <v>Da plataforma Refinitiv</v>
    <v>14</v>
    <v>15</v>
    <v>Blau Farmacêutica S/A (BVMF:BLAU3)</v>
    <v>12</v>
    <v>16</v>
    <v>Finance</v>
    <v>5</v>
    <v>17.27</v>
    <v>8.84</v>
    <v>BVMF</v>
    <v>179393900</v>
    <v>13.78</v>
    <v>1987</v>
    <v>13.55</v>
    <v>1.0051000000000001</v>
    <v>B3 - Brazil Stock Exchange</v>
    <v>2457696430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13.66</v>
    <v>1900</v>
    <v>45821.958333333336</v>
    <v>99</v>
    <v>259430</v>
    <v>BRL</v>
    <v>Blau Farmacêutica S/A</v>
    <v>Blau Farmacêutica S/A</v>
    <v>13.7</v>
    <v>13.7</v>
    <v>Rodovia Raposo Tavares, 2833, km 30,5, Barro Branco, COTIA, SAO PAULO, 06.705-030 BR</v>
    <v>Pharmaceuticals</v>
    <v>BLAU3</v>
    <v>Ações</v>
    <v>Blau Farmacêutica S/A (BVMF:BLAU3)</v>
    <v>0.04</v>
    <v>2.928E-3</v>
    <v>148800</v>
  </rv>
  <rv s="2">
    <v>100</v>
  </rv>
  <rv s="0">
    <v>https://www.bing.com/financeapi/forcetrigger?t=apmnjc&amp;q=BVMF%3aGGBR3&amp;form=skydnc</v>
    <v>Learn more on Bing</v>
  </rv>
  <rv s="7">
    <v>pt-BR</v>
    <v>apmnjc</v>
    <v>268435456</v>
    <v>1</v>
    <v>Da plataforma Refinitiv</v>
    <v>14</v>
    <v>15</v>
    <v>GERDAU S.A. (BVMF:GGBR3)</v>
    <v>12</v>
    <v>16</v>
    <v>Finance</v>
    <v>5</v>
    <v>19.93</v>
    <v>13.4</v>
    <v>BVMF</v>
    <v>2028195000</v>
    <v>15.36</v>
    <v>1961</v>
    <v>14.96</v>
    <v>0.65139999999999998</v>
    <v>B3 - Brazil Stock Exchange</v>
    <v>33095870000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15.22</v>
    <v>40061</v>
    <v>45821.958333333336</v>
    <v>102</v>
    <v>16204840</v>
    <v>BRL</v>
    <v>GERDAU S.A.</v>
    <v>GERDAU S.A.</v>
    <v>15.36</v>
    <v>14.96</v>
    <v>Avenida Doutora Ruth Cardoso, 8.501, 8 andar, Pinheiros, SAO PAULO, SAO PAULO, 05.425-070 BR</v>
    <v>Metals &amp; Mining</v>
    <v>GGBR3</v>
    <v>Ações</v>
    <v>GERDAU S.A. (BVMF:GGBR3)</v>
    <v>-0.26</v>
    <v>-1.7083000000000001E-2</v>
    <v>97400</v>
  </rv>
  <rv s="2">
    <v>103</v>
  </rv>
  <rv s="0">
    <v>https://www.bing.com/financeapi/forcetrigger?t=apmbm7&amp;q=BVMF%3aCRFB3&amp;form=skydnc</v>
    <v>Learn more on Bing</v>
  </rv>
  <rv s="7">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105</v>
    <v>3276280</v>
    <v>BRL</v>
    <v>ATACADÃO S.A.</v>
    <v>ATACADÃO S.A.</v>
    <v>8.4600000000000009</v>
    <v>8.48</v>
    <v>Avenida Morvan Dias de Figueiredo 6169, Vila Mariana, SAO PAULO, SAO PAULO, 02.170-901 BR</v>
    <v>Food &amp; Drug Retailing</v>
    <v>CRFB3</v>
    <v>Ações</v>
    <v>ATACADÃO S.A. (BVMF:CRFB3)</v>
    <v>0</v>
    <v>0</v>
    <v>14418400</v>
  </rv>
  <rv s="2">
    <v>106</v>
  </rv>
  <rv s="0">
    <v>https://www.bing.com/financeapi/forcetrigger?t=apnb5r&amp;q=BVMF%3aSAPR3&amp;form=skydnc</v>
    <v>Learn more on Bing</v>
  </rv>
  <rv s="7">
    <v>pt-BR</v>
    <v>apnb5r</v>
    <v>268435456</v>
    <v>1</v>
    <v>Da plataforma Refinitiv</v>
    <v>14</v>
    <v>15</v>
    <v>Companhia de Saneamento do Paraná - Sanepar (BVMF:SAPR3)</v>
    <v>12</v>
    <v>16</v>
    <v>Finance</v>
    <v>5</v>
    <v>7.21</v>
    <v>4.66</v>
    <v>BVMF</v>
    <v>1511206000</v>
    <v>7.21</v>
    <v>1963</v>
    <v>6.89</v>
    <v>0.57999999999999996</v>
    <v>B3 - Brazil Stock Exchange</v>
    <v>10497840000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v>
    <v>6047</v>
    <v>45821.958333333336</v>
    <v>108</v>
    <v>1373040</v>
    <v>BRL</v>
    <v>Companhia de Saneamento do Paraná - Sanepar</v>
    <v>Companhia de Saneamento do Paraná - Sanepar</v>
    <v>6.99</v>
    <v>7.19</v>
    <v>Rua Engenheiros Reboucas, 1376, Reboucas, CURITIBA, PARANA, 80.215-900 BR</v>
    <v>Water Utilities</v>
    <v>SAPR3</v>
    <v>Ações</v>
    <v>Companhia de Saneamento do Paraná - Sanepar (BVMF:SAPR3)</v>
    <v>0.19</v>
    <v>2.7143E-2</v>
    <v>398800</v>
  </rv>
  <rv s="2">
    <v>109</v>
  </rv>
  <rv s="0">
    <v>https://www.bing.com/financeapi/forcetrigger?t=apltsm&amp;q=BVMF%3aABCB4&amp;form=skydnc</v>
    <v>Learn more on Bing</v>
  </rv>
  <rv s="7">
    <v>pt-BR</v>
    <v>apltsm</v>
    <v>268435456</v>
    <v>1</v>
    <v>Da plataforma Refinitiv</v>
    <v>14</v>
    <v>15</v>
    <v>Banco ABC Brasil S.A (BVMF:ABCB4)</v>
    <v>12</v>
    <v>16</v>
    <v>Finance</v>
    <v>5</v>
    <v>23.24</v>
    <v>18.760000000000002</v>
    <v>BVMF</v>
    <v>121695200</v>
    <v>21.26</v>
    <v>1983</v>
    <v>20.93</v>
    <v>0.87939999999999996</v>
    <v>B3 - Brazil Stock Exchange</v>
    <v>2587239000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21.26</v>
    <v>441</v>
    <v>45821.958333333336</v>
    <v>111</v>
    <v>376810</v>
    <v>BRL</v>
    <v>Banco ABC Brasil S.A</v>
    <v>Banco ABC Brasil S.A</v>
    <v>21.26</v>
    <v>21.06</v>
    <v>Av. Cidade Jardim, 803 2 andar, Itaim Bibi, SAO PAULO, SAO PAULO, 01.453-000 BR</v>
    <v>Banking Services</v>
    <v>ABCB4</v>
    <v>Ações</v>
    <v>Banco ABC Brasil S.A (BVMF:ABCB4)</v>
    <v>-0.2</v>
    <v>-9.4070000000000004E-3</v>
    <v>248500</v>
  </rv>
  <rv s="2">
    <v>112</v>
  </rv>
  <rv s="0">
    <v>https://www.bing.com/financeapi/forcetrigger?t=apm5c7&amp;q=BVMF%3aBRSR6&amp;form=skydnc</v>
    <v>Learn more on Bing</v>
  </rv>
  <rv s="7">
    <v>pt-BR</v>
    <v>apm5c7</v>
    <v>268435456</v>
    <v>1</v>
    <v>Da plataforma Refinitiv</v>
    <v>14</v>
    <v>15</v>
    <v>BANCO DO ESTADO DO RIO GRANDE DO SUL S.A. (BVMF:BRSR6)</v>
    <v>12</v>
    <v>16</v>
    <v>Finance</v>
    <v>5</v>
    <v>13.04</v>
    <v>9.2899999999999991</v>
    <v>BVMF</v>
    <v>408974500</v>
    <v>11.64</v>
    <v>1928</v>
    <v>11.41</v>
    <v>1.0726</v>
    <v>B3 - Brazil Stock Exchange</v>
    <v>4983252000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11.73</v>
    <v>9364</v>
    <v>45821.958333333336</v>
    <v>114</v>
    <v>1367410</v>
    <v>BRL</v>
    <v>BANCO DO ESTADO DO RIO GRANDE DO SUL S.A.</v>
    <v>BANCO DO ESTADO DO RIO GRANDE DO SUL S.A.</v>
    <v>11.56</v>
    <v>11.44</v>
    <v>Rua Capitao Montanha, 177, Centro, PORTO ALEGRE, RIO GRANDE DO SUL, 90.018-900 BR</v>
    <v>Banking Services</v>
    <v>BRSR6</v>
    <v>Ações</v>
    <v>BANCO DO ESTADO DO RIO GRANDE DO SUL S.A. (BVMF:BRSR6)</v>
    <v>-0.28999999999999998</v>
    <v>-2.4723000000000002E-2</v>
    <v>698600</v>
  </rv>
  <rv s="2">
    <v>115</v>
  </rv>
  <rv s="0">
    <v>https://www.bing.com/financeapi/forcetrigger?t=c3uxhw&amp;q=BVMF%3aPORT3&amp;form=skydnc</v>
    <v>Learn more on Bing</v>
  </rv>
  <rv s="8">
    <v>pt-BR</v>
    <v>c3uxhw</v>
    <v>268435456</v>
    <v>1</v>
    <v>Da plataforma Refinitiv</v>
    <v>17</v>
    <v>18</v>
    <v>Wilson Sons S.A. (BVMF:PORT3)</v>
    <v>12</v>
    <v>19</v>
    <v>Finance</v>
    <v>5</v>
    <v>17.489999999999998</v>
    <v>13.24</v>
    <v>BVMF</v>
    <v>440977900</v>
    <v>17.489999999999998</v>
    <v>1971</v>
    <v>17.420000000000002</v>
    <v>1.0815999999999999</v>
    <v>B3 - Brazil Stock Exchange</v>
    <v>7690654576</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17.440000000000001</v>
    <v>45821.958333333336</v>
    <v>117</v>
    <v>1326570</v>
    <v>BRL</v>
    <v>Wilson Sons S.A.</v>
    <v>Wilson Sons S.A.</v>
    <v>17.440000000000001</v>
    <v>17.440000000000001</v>
    <v>Praia de Botafogo 186, 4 andar, Botafogo, RIO DE JANEIRO, RIO DE JANEIRO, 22.250-145 BR</v>
    <v>Transport Infrastructure</v>
    <v>PORT3</v>
    <v>Ações</v>
    <v>Wilson Sons S.A. (BVMF:PORT3)</v>
    <v>0</v>
    <v>0</v>
    <v>1790800</v>
  </rv>
  <rv s="2">
    <v>118</v>
  </rv>
  <rv s="0">
    <v>https://www.bing.com/financeapi/forcetrigger?t=apn4rw&amp;q=BVMF%3aPINE4&amp;form=skydnc</v>
    <v>Learn more on Bing</v>
  </rv>
  <rv s="7">
    <v>pt-BR</v>
    <v>apn4rw</v>
    <v>268435456</v>
    <v>1</v>
    <v>Da plataforma Refinitiv</v>
    <v>14</v>
    <v>15</v>
    <v>Banco Pine S.A. (BVMF:PINE4)</v>
    <v>12</v>
    <v>16</v>
    <v>Finance</v>
    <v>5</v>
    <v>6.04</v>
    <v>3.49</v>
    <v>BVMF</v>
    <v>226428400</v>
    <v>5.93</v>
    <v>1997</v>
    <v>5.53</v>
    <v>1.2295</v>
    <v>B3 - Brazil Stock Exchange</v>
    <v>1285598000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5.99</v>
    <v>393</v>
    <v>45821.958333333336</v>
    <v>120</v>
    <v>260490</v>
    <v>BRL</v>
    <v>Banco Pine S.A.</v>
    <v>Banco Pine S.A.</v>
    <v>5.93</v>
    <v>5.68</v>
    <v>Av. Presidente Juscelino Kubitschek, 1830- Salas 44, 54 e 64 4, 5 e 6 andares, Vila Nova Conceicao, SAO PAULO, SAO PAULO, 04.543-000 BR</v>
    <v>Banking Services</v>
    <v>PINE4</v>
    <v>Ações</v>
    <v>Banco Pine S.A. (BVMF:PINE4)</v>
    <v>-0.31</v>
    <v>-5.1753E-2</v>
    <v>677300</v>
  </rv>
  <rv s="2">
    <v>121</v>
  </rv>
  <rv s="0">
    <v>https://www.bing.com/financeapi/forcetrigger?t=apms4c&amp;q=BVMF%3aITSA3&amp;form=skydnc</v>
    <v>Learn more on Bing</v>
  </rv>
  <rv s="7">
    <v>pt-BR</v>
    <v>apms4c</v>
    <v>268435456</v>
    <v>1</v>
    <v>Da plataforma Refinitiv</v>
    <v>14</v>
    <v>15</v>
    <v>ITAÚSA S.A. (BVMF:ITSA3)</v>
    <v>12</v>
    <v>16</v>
    <v>Finance</v>
    <v>5</v>
    <v>11.41</v>
    <v>8.1</v>
    <v>BVMF</v>
    <v>10993810000</v>
    <v>10.86</v>
    <v>1966</v>
    <v>10.68</v>
    <v>1.1931</v>
    <v>B3 - Brazil Stock Exchange</v>
    <v>118877500000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10.8</v>
    <v>127000</v>
    <v>45821.958333333336</v>
    <v>123</v>
    <v>28237910</v>
    <v>BRL</v>
    <v>ITAÚSA S.A.</v>
    <v>ITAÚSA S.A.</v>
    <v>10.86</v>
    <v>10.73</v>
    <v>Avenida Paulista, 1938, 5 andar, Bela Vista, SAO PAULO, SAO PAULO, 01.310-200 BR</v>
    <v>Banking Services</v>
    <v>ITSA3</v>
    <v>Ações</v>
    <v>ITAÚSA S.A. (BVMF:ITSA3)</v>
    <v>-7.0000000000000007E-2</v>
    <v>-6.4809999999999998E-3</v>
    <v>59300</v>
  </rv>
  <rv s="2">
    <v>124</v>
  </rv>
  <rv s="0">
    <v>https://www.bing.com/financeapi/forcetrigger?t=apmx3m&amp;q=BVMF%3aMEAL3&amp;form=skydnc</v>
    <v>Learn more on Bing</v>
  </rv>
  <rv s="12">
    <v>pt-BR</v>
    <v>apmx3m</v>
    <v>268435456</v>
    <v>1</v>
    <v>Da plataforma Refinitiv</v>
    <v>26</v>
    <v>27</v>
    <v>International Meal Company Alimentação S.A. (BVMF:MEAL3)</v>
    <v>12</v>
    <v>28</v>
    <v>Finance</v>
    <v>5</v>
    <v>1.75</v>
    <v>0.91</v>
    <v>BVMF</v>
    <v>286676500</v>
    <v>1.1399999999999999</v>
    <v>1.1200000000000001</v>
    <v>2.0644999999999998</v>
    <v>B3 - Brazil Stock Exchange</v>
    <v>323944444</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1.1399999999999999</v>
    <v>8427</v>
    <v>45821.958333333336</v>
    <v>126</v>
    <v>282690</v>
    <v>BRL</v>
    <v>International Meal Company Alimentação S.A.</v>
    <v>International Meal Company Alimentação S.A.</v>
    <v>1.1299999999999999</v>
    <v>1.1299999999999999</v>
    <v>Avenida Doutora Ruth Cardoso, 4777, 12 andar,conjunto A, Jd Univ. Pinheiros, SAO PAULO, SAO PAULO, 05.477-902 BR</v>
    <v>Hotels &amp; Entertainment Services</v>
    <v>MEAL3</v>
    <v>Ações</v>
    <v>International Meal Company Alimentação S.A. (BVMF:MEAL3)</v>
    <v>-0.01</v>
    <v>-8.7720000000000003E-3</v>
    <v>222200</v>
  </rv>
  <rv s="2">
    <v>127</v>
  </rv>
  <rv s="0">
    <v>https://www.bing.com/financeapi/forcetrigger?t=aplz4c&amp;q=BVMF%3aBBSE3&amp;form=skydnc</v>
    <v>Learn more on Bing</v>
  </rv>
  <rv s="7">
    <v>pt-BR</v>
    <v>aplz4c</v>
    <v>268435456</v>
    <v>1</v>
    <v>Da plataforma Refinitiv</v>
    <v>14</v>
    <v>15</v>
    <v>BB Seguridade Participações S.A. (BVMF:BBSE3)</v>
    <v>12</v>
    <v>16</v>
    <v>Finance</v>
    <v>5</v>
    <v>42.77</v>
    <v>29.24</v>
    <v>BVMF</v>
    <v>2000000000</v>
    <v>35.58</v>
    <v>2012</v>
    <v>35.200000000000003</v>
    <v>0.53300000000000003</v>
    <v>B3 - Brazil Stock Exchange</v>
    <v>71020000000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35.29</v>
    <v>268</v>
    <v>45821.958333333336</v>
    <v>129</v>
    <v>5863040</v>
    <v>BRL</v>
    <v>BB Seguridade Participações S.A.</v>
    <v>BB Seguridade Participações S.A.</v>
    <v>35.29</v>
    <v>35.51</v>
    <v>SAUN, Quadra 05, Bloco B, 3 andar Edificio Banco do Br, Asa Norte, BRASILIA, DISTRITO FEDERAL, 70.040-912 BR</v>
    <v>Insurance</v>
    <v>BBSE3</v>
    <v>Ações</v>
    <v>BB Seguridade Participações S.A. (BVMF:BBSE3)</v>
    <v>0.22</v>
    <v>6.234E-3</v>
    <v>4889100</v>
  </rv>
  <rv s="2">
    <v>130</v>
  </rv>
  <rv s="0">
    <v>https://www.bing.com/financeapi/forcetrigger?t=apmnxm&amp;q=BVMF%3aGOAU3&amp;form=skydnc</v>
    <v>Learn more on Bing</v>
  </rv>
  <rv s="7">
    <v>pt-BR</v>
    <v>apmnxm</v>
    <v>268435456</v>
    <v>1</v>
    <v>Da plataforma Refinitiv</v>
    <v>14</v>
    <v>15</v>
    <v>METALURGICA GERDAU S.A. (BVMF:GOAU3)</v>
    <v>12</v>
    <v>16</v>
    <v>Finance</v>
    <v>5</v>
    <v>11.82</v>
    <v>7.97</v>
    <v>BVMF</v>
    <v>993705800</v>
    <v>9.34</v>
    <v>1901</v>
    <v>9.19</v>
    <v>0.69589999999999996</v>
    <v>B3 - Brazil Stock Exchange</v>
    <v>9162569000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9.17</v>
    <v>30000</v>
    <v>45821.958333333336</v>
    <v>132</v>
    <v>11757870</v>
    <v>BRL</v>
    <v>METALURGICA GERDAU S.A.</v>
    <v>METALURGICA GERDAU S.A.</v>
    <v>9.19</v>
    <v>9.2200000000000006</v>
    <v>Avenida Doutora Ruth Cardoso, 8.501,8 andar, Pinheiros, SAO PAULO, SAO PAULO, 05.425-070 BR</v>
    <v>Metals &amp; Mining</v>
    <v>GOAU3</v>
    <v>Ações</v>
    <v>METALURGICA GERDAU S.A. (BVMF:GOAU3)</v>
    <v>0.05</v>
    <v>5.4530000000000004E-3</v>
    <v>10100</v>
  </rv>
  <rv s="2">
    <v>133</v>
  </rv>
  <rv s="0">
    <v>https://www.bing.com/financeapi/forcetrigger?t=apmscw&amp;q=BVMF%3aITUB4&amp;form=skydnc</v>
    <v>Learn more on Bing</v>
  </rv>
  <rv s="7">
    <v>pt-BR</v>
    <v>apmscw</v>
    <v>268435456</v>
    <v>1</v>
    <v>Da plataforma Refinitiv</v>
    <v>14</v>
    <v>15</v>
    <v>Itaú Unibanco Holding S.A. (BVMF:ITUB4)</v>
    <v>12</v>
    <v>16</v>
    <v>Finance</v>
    <v>5</v>
    <v>38.25</v>
    <v>25.57</v>
    <v>BVMF</v>
    <v>10784550000</v>
    <v>36.35</v>
    <v>1943</v>
    <v>35.909999999999997</v>
    <v>1.2437</v>
    <v>B3 - Brazil Stock Exchange</v>
    <v>371369600000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36.61</v>
    <v>100600</v>
    <v>45821.958333333336</v>
    <v>135</v>
    <v>21904470</v>
    <v>BRL</v>
    <v>Itaú Unibanco Holding S.A.</v>
    <v>Itaú Unibanco Holding S.A.</v>
    <v>36.17</v>
    <v>36.17</v>
    <v>Praca Alfredo Egydio de Souza Aranha, 100, T. Olavo Setubal, Piso Itau Unibanco, Parque Jabaquara, SAO PAULO, SAO PAULO, 04.344-902 BR</v>
    <v>Banking Services</v>
    <v>ITUB4</v>
    <v>Ações</v>
    <v>Itaú Unibanco Holding S.A. (BVMF:ITUB4)</v>
    <v>-0.44</v>
    <v>-1.2019E-2</v>
    <v>14372500</v>
  </rv>
  <rv s="2">
    <v>136</v>
  </rv>
  <rv s="0">
    <v>https://www.bing.com/financeapi/forcetrigger?t=apluur&amp;q=BVMF%3aAGRO3&amp;form=skydnc</v>
    <v>Learn more on Bing</v>
  </rv>
  <rv s="8">
    <v>pt-BR</v>
    <v>apluur</v>
    <v>268435456</v>
    <v>1</v>
    <v>Da plataforma Refinitiv</v>
    <v>17</v>
    <v>18</v>
    <v>Brasilagro - Companhia Brasileira de Propriedades Agrícolas (BVMF:AGRO3)</v>
    <v>12</v>
    <v>19</v>
    <v>Finance</v>
    <v>5</v>
    <v>26.67</v>
    <v>19.82</v>
    <v>BVMF</v>
    <v>102683400</v>
    <v>21.1</v>
    <v>2005</v>
    <v>20.68</v>
    <v>0.67159999999999997</v>
    <v>B3 - Brazil Stock Exchange</v>
    <v>2145057000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20.89</v>
    <v>45821.958333333336</v>
    <v>138</v>
    <v>125590</v>
    <v>BRL</v>
    <v>Brasilagro - Companhia Brasileira de Propriedades Agrícolas</v>
    <v>Brasilagro - Companhia Brasileira de Propriedades Agrícolas</v>
    <v>21.1</v>
    <v>20.82</v>
    <v>Avenida Reboucas, n. 2.984, Conj, 61 e 62 6 andar, Pinheiros, SAO PAULO, SAO PAULO, 05.402-500 BR</v>
    <v>Food &amp; Tobacco</v>
    <v>AGRO3</v>
    <v>Ações</v>
    <v>Brasilagro - Companhia Brasileira de Propriedades Agrícolas (BVMF:AGRO3)</v>
    <v>-7.0000000000000007E-2</v>
    <v>-3.3510000000000002E-3</v>
    <v>106800</v>
  </rv>
  <rv s="2">
    <v>139</v>
  </rv>
  <rv s="0">
    <v>https://www.bing.com/financeapi/forcetrigger?t=bskymw&amp;q=BVMF%3aBMGB4&amp;form=skydnc</v>
    <v>Learn more on Bing</v>
  </rv>
  <rv s="13">
    <v>pt-BR</v>
    <v>bskymw</v>
    <v>268435456</v>
    <v>1</v>
    <v>Da plataforma Refinitiv</v>
    <v>29</v>
    <v>30</v>
    <v>BANCO BMG S.A. (BVMF:BMGB4)</v>
    <v>12</v>
    <v>31</v>
    <v>Finance</v>
    <v>5</v>
    <v>4.3099999999999996</v>
    <v>2.73</v>
    <v>BVMF</v>
    <v>210536200</v>
    <v>3.69</v>
    <v>3.66</v>
    <v>1.1769000000000001</v>
    <v>B3 - Brazil Stock Exchange</v>
    <v>772667854</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3.68</v>
    <v>45821.958333333336</v>
    <v>141</v>
    <v>371320</v>
    <v>BRL</v>
    <v>BANCO BMG S.A.</v>
    <v>BANCO BMG S.A.</v>
    <v>3.68</v>
    <v>3.67</v>
    <v>Avenida Presidente Juscelino Kubitschek, N 1830, 10, 11, 13 E 14 Andares - Parte Cond Ed S Luiz, Vila Nova Conceicao, SAO PAULO, SAO PAULO, 04.543-000 BR</v>
    <v>Banking Services</v>
    <v>BMGB4</v>
    <v>Ações</v>
    <v>BANCO BMG S.A. (BVMF:BMGB4)</v>
    <v>-0.01</v>
    <v>-2.7169999999999998E-3</v>
    <v>324100</v>
  </rv>
  <rv s="2">
    <v>142</v>
  </rv>
  <rv s="0">
    <v>https://www.bing.com/financeapi/forcetrigger?t=c2yyw7&amp;q=BVMF%3aLAND3&amp;form=skydnc</v>
    <v>Learn more on Bing</v>
  </rv>
  <rv s="8">
    <v>pt-BR</v>
    <v>c2yyw7</v>
    <v>268435456</v>
    <v>1</v>
    <v>Da plataforma Refinitiv</v>
    <v>17</v>
    <v>18</v>
    <v>Terra Santa Propriedades Agrícolas S.A. (BVMF:LAND3)</v>
    <v>12</v>
    <v>19</v>
    <v>Finance</v>
    <v>5</v>
    <v>16.2</v>
    <v>10.75</v>
    <v>BVMF</v>
    <v>96226960</v>
    <v>11.22</v>
    <v>2021</v>
    <v>10.98</v>
    <v>-0.36909999999999998</v>
    <v>B3 - Brazil Stock Exchange</v>
    <v>1065232000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11.07</v>
    <v>45821.958333333336</v>
    <v>144</v>
    <v>20510</v>
    <v>BRL</v>
    <v>Terra Santa Propriedades Agrícolas S.A.</v>
    <v>Terra Santa Propriedades Agrícolas S.A.</v>
    <v>11.08</v>
    <v>10.98</v>
    <v>Praca General Gentil Falcao, 108, 8o andar Cj. 81, Sala 4, Cidade Moncoes, SAO PAULO, SAO PAULO, 04.571-150 BR</v>
    <v>Real Estate Operations</v>
    <v>LAND3</v>
    <v>Ações</v>
    <v>Terra Santa Propriedades Agrícolas S.A. (BVMF:LAND3)</v>
    <v>-0.09</v>
    <v>-8.1300000000000001E-3</v>
    <v>16600</v>
  </rv>
  <rv s="2">
    <v>145</v>
  </rv>
  <rv s="0">
    <v>https://www.bing.com/financeapi/forcetrigger?t=apmnm7&amp;q=BVMF%3aGGBR4&amp;form=skydnc</v>
    <v>Learn more on Bing</v>
  </rv>
  <rv s="7">
    <v>pt-BR</v>
    <v>apmnm7</v>
    <v>268435456</v>
    <v>1</v>
    <v>Da plataforma Refinitiv</v>
    <v>14</v>
    <v>15</v>
    <v>GERDAU S.A. (BVMF:GGBR4)</v>
    <v>12</v>
    <v>16</v>
    <v>Finance</v>
    <v>5</v>
    <v>21</v>
    <v>13.63</v>
    <v>BVMF</v>
    <v>2028195000</v>
    <v>16.940000000000001</v>
    <v>1961</v>
    <v>16.649999999999999</v>
    <v>0.65139999999999998</v>
    <v>B3 - Brazil Stock Exchange</v>
    <v>33095870000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16.920000000000002</v>
    <v>40061</v>
    <v>45821.958333333336</v>
    <v>147</v>
    <v>16204840</v>
    <v>BRL</v>
    <v>GERDAU S.A.</v>
    <v>GERDAU S.A.</v>
    <v>16.75</v>
    <v>16.760000000000002</v>
    <v>Avenida Doutora Ruth Cardoso, 8.501, 8 andar, Pinheiros, SAO PAULO, SAO PAULO, 05.425-070 BR</v>
    <v>Metals &amp; Mining</v>
    <v>GGBR4</v>
    <v>Ações</v>
    <v>GERDAU S.A. (BVMF:GGBR4)</v>
    <v>-0.16</v>
    <v>-9.4559999999999991E-3</v>
    <v>10232000</v>
  </rv>
  <rv s="2">
    <v>148</v>
  </rv>
  <rv s="0">
    <v>https://www.bing.com/financeapi/forcetrigger?t=apms77&amp;q=BVMF%3aITSA4&amp;form=skydnc</v>
    <v>Learn more on Bing</v>
  </rv>
  <rv s="7">
    <v>pt-BR</v>
    <v>apms77</v>
    <v>268435456</v>
    <v>1</v>
    <v>Da plataforma Refinitiv</v>
    <v>14</v>
    <v>15</v>
    <v>ITAÚSA S.A. (BVMF:ITSA4)</v>
    <v>12</v>
    <v>16</v>
    <v>Finance</v>
    <v>5</v>
    <v>11.41</v>
    <v>7.91</v>
    <v>BVMF</v>
    <v>10993810000</v>
    <v>10.76</v>
    <v>1966</v>
    <v>10.61</v>
    <v>1.1931</v>
    <v>B3 - Brazil Stock Exchange</v>
    <v>118877500000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10.82</v>
    <v>127000</v>
    <v>45821.958333333336</v>
    <v>150</v>
    <v>28237910</v>
    <v>BRL</v>
    <v>ITAÚSA S.A.</v>
    <v>ITAÚSA S.A.</v>
    <v>10.66</v>
    <v>10.71</v>
    <v>Avenida Paulista, 1938, 5 andar, Bela Vista, SAO PAULO, SAO PAULO, 01.310-200 BR</v>
    <v>Banking Services</v>
    <v>ITSA4</v>
    <v>Ações</v>
    <v>ITAÚSA S.A. (BVMF:ITSA4)</v>
    <v>-0.11</v>
    <v>-1.0166E-2</v>
    <v>16992800</v>
  </rv>
  <rv s="2">
    <v>151</v>
  </rv>
  <rv s="0">
    <v>https://www.bing.com/financeapi/forcetrigger?t=az65xm&amp;q=BVMF%3aSMFT3&amp;form=skydnc</v>
    <v>Learn more on Bing</v>
  </rv>
  <rv s="7">
    <v>pt-BR</v>
    <v>az65xm</v>
    <v>268435456</v>
    <v>1</v>
    <v>Da plataforma Refinitiv</v>
    <v>14</v>
    <v>15</v>
    <v>Smartfit Escola de Ginástica e Dança S.A. (BVMF:SMFT3)</v>
    <v>12</v>
    <v>16</v>
    <v>Finance</v>
    <v>5</v>
    <v>25.39</v>
    <v>16.38</v>
    <v>BVMF</v>
    <v>597250100</v>
    <v>24.56</v>
    <v>2005</v>
    <v>24.07</v>
    <v>2.0951</v>
    <v>B3 - Brazil Stock Exchange</v>
    <v>14435534917</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24.71</v>
    <v>3838</v>
    <v>45821.958333333336</v>
    <v>153</v>
    <v>3640690</v>
    <v>BRL</v>
    <v>Smartfit Escola de Ginástica e Dança S.A.</v>
    <v>Smartfit Escola de Ginástica e Dança S.A.</v>
    <v>24.56</v>
    <v>24.17</v>
    <v>Avenida Paulista, n.1294, 2 andar, Bela Vista,, SAO PAULO, SAO PAULO, 01.310-100 BR</v>
    <v>Hotels &amp; Entertainment Services</v>
    <v>SMFT3</v>
    <v>Ações</v>
    <v>Smartfit Escola de Ginástica e Dança S.A. (BVMF:SMFT3)</v>
    <v>-0.54</v>
    <v>-2.1853999999999998E-2</v>
    <v>3165200</v>
  </rv>
  <rv s="2">
    <v>154</v>
  </rv>
  <rv s="0">
    <v>https://www.bing.com/financeapi/forcetrigger?t=apmlc7&amp;q=BVMF%3aFLRY3&amp;form=skydnc</v>
    <v>Learn more on Bing</v>
  </rv>
  <rv s="7">
    <v>pt-BR</v>
    <v>apmlc7</v>
    <v>268435456</v>
    <v>1</v>
    <v>Da plataforma Refinitiv</v>
    <v>14</v>
    <v>15</v>
    <v>Fleury S.A. (BVMF:FLRY3)</v>
    <v>12</v>
    <v>16</v>
    <v>Finance</v>
    <v>5</v>
    <v>15.93</v>
    <v>10.62</v>
    <v>BVMF</v>
    <v>547191000</v>
    <v>13.12</v>
    <v>1964</v>
    <v>12.72</v>
    <v>0.6321</v>
    <v>B3 - Brazil Stock Exchange</v>
    <v>7124426820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12.92</v>
    <v>27500</v>
    <v>45821.958333333336</v>
    <v>156</v>
    <v>2776500</v>
    <v>BRL</v>
    <v>Fleury S.A.</v>
    <v>Fleury S.A.</v>
    <v>12.86</v>
    <v>13.02</v>
    <v>Av. General Valdomiro de Lima, 508, Jabaquara, SAO PAULO, SAO PAULO, 04.344-070 BR</v>
    <v>Healthcare Providers &amp; Services</v>
    <v>FLRY3</v>
    <v>Ações</v>
    <v>Fleury S.A. (BVMF:FLRY3)</v>
    <v>0.1</v>
    <v>7.7400000000000004E-3</v>
    <v>2528500</v>
  </rv>
  <rv s="2">
    <v>157</v>
  </rv>
  <rv s="0">
    <v>https://www.bing.com/financeapi/forcetrigger?t=apna3m&amp;q=BVMF%3aROMI3&amp;form=skydnc</v>
    <v>Learn more on Bing</v>
  </rv>
  <rv s="7">
    <v>pt-BR</v>
    <v>apna3m</v>
    <v>268435456</v>
    <v>1</v>
    <v>Da plataforma Refinitiv</v>
    <v>14</v>
    <v>15</v>
    <v>ROMI S.A. (BVMF:ROMI3)</v>
    <v>12</v>
    <v>16</v>
    <v>Finance</v>
    <v>5</v>
    <v>11.03</v>
    <v>7.81</v>
    <v>BVMF</v>
    <v>93170750</v>
    <v>9.5500000000000007</v>
    <v>1938</v>
    <v>9.31</v>
    <v>0.5907</v>
    <v>B3 - Brazil Stock Exchange</v>
    <v>873941635</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9.51</v>
    <v>2806</v>
    <v>45821.958333333336</v>
    <v>159</v>
    <v>124370</v>
    <v>BRL</v>
    <v>ROMI S.A.</v>
    <v>ROMI S.A.</v>
    <v>9.5500000000000007</v>
    <v>9.3800000000000008</v>
    <v>Rodovia Luis de Queiroz (SP 304), s/n, KM 141,5, Dist. Industrial Sul, SANTA BARBARA D'OESTE, SAO PAULO, 13.459-057 BR</v>
    <v>Machinery, Equipment &amp; Components</v>
    <v>ROMI3</v>
    <v>Ações</v>
    <v>ROMI S.A. (BVMF:ROMI3)</v>
    <v>-0.13</v>
    <v>-1.367E-2</v>
    <v>164400</v>
  </rv>
  <rv s="2">
    <v>160</v>
  </rv>
  <rv s="0">
    <v>https://www.bing.com/financeapi/forcetrigger?t=apnew7&amp;q=BVMF%3aTAEE4&amp;form=skydnc</v>
    <v>Learn more on Bing</v>
  </rv>
  <rv s="7">
    <v>pt-BR</v>
    <v>apnew7</v>
    <v>268435456</v>
    <v>1</v>
    <v>Da plataforma Refinitiv</v>
    <v>14</v>
    <v>15</v>
    <v>Transmissora Aliança de Energia Elétrica S/A (BVMF:TAEE4)</v>
    <v>12</v>
    <v>16</v>
    <v>Finance</v>
    <v>5</v>
    <v>12.24</v>
    <v>10.24</v>
    <v>BVMF</v>
    <v>344498900</v>
    <v>11.43</v>
    <v>2006</v>
    <v>11.24</v>
    <v>0.68859999999999999</v>
    <v>B3 - Brazil Stock Exchange</v>
    <v>11706070000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11.35</v>
    <v>854</v>
    <v>45821.958333333336</v>
    <v>162</v>
    <v>1626780</v>
    <v>BRL</v>
    <v>Transmissora Aliança de Energia Elétrica S/A</v>
    <v>Transmissora Aliança de Energia Elétrica S/A</v>
    <v>11.39</v>
    <v>11.36</v>
    <v>Av. das Americas, 2480 Bloco 6, Barra da Tijuca, RIO DE JANEIRO, RIO DE JANEIRO, 22.640-101 BR</v>
    <v>Electrical Utilities &amp; IPPs</v>
    <v>TAEE4</v>
    <v>Ações</v>
    <v>Transmissora Aliança de Energia Elétrica S/A (BVMF:TAEE4)</v>
    <v>0.01</v>
    <v>8.810999999999999E-4</v>
    <v>108800</v>
  </rv>
  <rv s="2">
    <v>163</v>
  </rv>
  <rv s="0">
    <v>https://www.bing.com/financeapi/forcetrigger?t=apn827&amp;q=BVMF%3aRAIL3&amp;form=skydnc</v>
    <v>Learn more on Bing</v>
  </rv>
  <rv s="7">
    <v>pt-BR</v>
    <v>apn827</v>
    <v>268435456</v>
    <v>1</v>
    <v>Da plataforma Refinitiv</v>
    <v>14</v>
    <v>15</v>
    <v>RUMO S.A. (BVMF:RAIL3)</v>
    <v>12</v>
    <v>16</v>
    <v>Finance</v>
    <v>5</v>
    <v>24.4</v>
    <v>15.95</v>
    <v>BVMF</v>
    <v>1854869000</v>
    <v>19.149999999999999</v>
    <v>1997</v>
    <v>18.579999999999998</v>
    <v>0.74150000000000005</v>
    <v>B3 - Brazil Stock Exchange</v>
    <v>35483643970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19.04</v>
    <v>8602</v>
    <v>45821.958333333336</v>
    <v>165</v>
    <v>13405440</v>
    <v>BRL</v>
    <v>RUMO S.A.</v>
    <v>RUMO S.A.</v>
    <v>19</v>
    <v>19.13</v>
    <v>Rua Emilio Bertolini, 100 - Cajuru, CURITIBA, PARANA, 82.920-030 BR</v>
    <v>Freight &amp; Logistics Services</v>
    <v>RAIL3</v>
    <v>Ações</v>
    <v>RUMO S.A. (BVMF:RAIL3)</v>
    <v>0.09</v>
    <v>4.7270000000000003E-3</v>
    <v>6427300</v>
  </rv>
  <rv s="2">
    <v>166</v>
  </rv>
  <rv s="0">
    <v>https://www.bing.com/financeapi/forcetrigger?t=apmeec&amp;q=BVMF%3aCYRE3&amp;form=skydnc</v>
    <v>Learn more on Bing</v>
  </rv>
  <rv s="8">
    <v>pt-BR</v>
    <v>apmeec</v>
    <v>268435456</v>
    <v>1</v>
    <v>Da plataforma Refinitiv</v>
    <v>17</v>
    <v>18</v>
    <v>Cyrela Brazil Realty S.A. Empreendimentos e Participações (BVMF:CYRE3)</v>
    <v>12</v>
    <v>19</v>
    <v>Finance</v>
    <v>5</v>
    <v>26.97</v>
    <v>15.44</v>
    <v>BVMF</v>
    <v>384000000</v>
    <v>24.55</v>
    <v>1993</v>
    <v>24.06</v>
    <v>1.6904999999999999</v>
    <v>B3 - Brazil Stock Exchange</v>
    <v>9369600000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24.8</v>
    <v>45821.958333333336</v>
    <v>168</v>
    <v>4224360</v>
    <v>BRL</v>
    <v>Cyrela Brazil Realty S.A. Empreendimentos e Participações</v>
    <v>Cyrela Brazil Realty S.A. Empreendimentos e Participações</v>
    <v>24.46</v>
    <v>24.4</v>
    <v>Rua do Rocio,109, 2 andar Sala01 Parte, Vila Olimpia, SAO PAULO, SAO PAULO, 04.552-000 BR</v>
    <v>Real Estate Operations</v>
    <v>CYRE3</v>
    <v>Ações</v>
    <v>Cyrela Brazil Realty S.A. Empreendimentos e Participações (BVMF:CYRE3)</v>
    <v>-0.4</v>
    <v>-1.6129000000000001E-2</v>
    <v>4677800</v>
  </rv>
  <rv s="2">
    <v>169</v>
  </rv>
  <rv s="0">
    <v>https://www.bing.com/financeapi/forcetrigger?t=c1s56h&amp;q=BVMF%3aCXSE3&amp;form=skydnc</v>
    <v>Learn more on Bing</v>
  </rv>
  <rv s="7">
    <v>pt-BR</v>
    <v>c1s56h</v>
    <v>268435456</v>
    <v>1</v>
    <v>Da plataforma Refinitiv</v>
    <v>14</v>
    <v>15</v>
    <v>Caixa Seguridade Participações S.A (BVMF:CXSE3)</v>
    <v>12</v>
    <v>16</v>
    <v>Finance</v>
    <v>5</v>
    <v>16.5</v>
    <v>12.67</v>
    <v>BVMF</v>
    <v>3000000000</v>
    <v>14.68</v>
    <v>2015</v>
    <v>14.41</v>
    <v>0.94910000000000005</v>
    <v>B3 - Brazil Stock Exchange</v>
    <v>43800000000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14.57</v>
    <v>135</v>
    <v>45821.958333333336</v>
    <v>171</v>
    <v>5621790</v>
    <v>BRL</v>
    <v>Caixa Seguridade Participações S.A</v>
    <v>Caixa Seguridade Participações S.A</v>
    <v>14.49</v>
    <v>14.6</v>
    <v>SAUS Quadra 3 Bloco E, 3 andar, Asa Sul, BRASILIA, DISTRITO FEDERAL, 70.070-030 BR</v>
    <v>Insurance</v>
    <v>CXSE3</v>
    <v>Ações</v>
    <v>Caixa Seguridade Participações S.A (BVMF:CXSE3)</v>
    <v>0.03</v>
    <v>2.0590000000000001E-3</v>
    <v>2731700</v>
  </rv>
  <rv s="2">
    <v>172</v>
  </rv>
  <rv s="0">
    <v>https://www.bing.com/financeapi/forcetrigger?t=c1rkkr&amp;q=BVMF%3aALLD3&amp;form=skydnc</v>
    <v>Learn more on Bing</v>
  </rv>
  <rv s="8">
    <v>pt-BR</v>
    <v>c1rkkr</v>
    <v>268435456</v>
    <v>1</v>
    <v>Da plataforma Refinitiv</v>
    <v>17</v>
    <v>18</v>
    <v>Allied Tecnologia S.A. (BVMF:ALLD3)</v>
    <v>12</v>
    <v>19</v>
    <v>Finance</v>
    <v>5</v>
    <v>7.9</v>
    <v>5.81</v>
    <v>BVMF</v>
    <v>94507240</v>
    <v>7.1</v>
    <v>2014</v>
    <v>7.03</v>
    <v>1.224</v>
    <v>B3 - Brazil Stock Exchange</v>
    <v>668166186</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7.1</v>
    <v>45821.958333333336</v>
    <v>174</v>
    <v>38800</v>
    <v>BRL</v>
    <v>Allied Tecnologia S.A.</v>
    <v>Allied Tecnologia S.A.</v>
    <v>7.1</v>
    <v>7.07</v>
    <v>Rodovia Vice-Prefeito Hermenegildo Tonolli, 1.500 Lote GLA2/Galpao 04B, Distrito Industrial, JUNDIAI, SAO PAULO, 13.213-086 BR</v>
    <v>Computers, Phones &amp; Household Electronics</v>
    <v>ALLD3</v>
    <v>Ações</v>
    <v>Allied Tecnologia S.A. (BVMF:ALLD3)</v>
    <v>-0.03</v>
    <v>-4.2249999999999996E-3</v>
    <v>14700</v>
  </rv>
  <rv s="2">
    <v>175</v>
  </rv>
  <rv s="0">
    <v>https://www.bing.com/financeapi/forcetrigger?t=apmofr&amp;q=BVMF%3aDEXP3&amp;form=skydnc</v>
    <v>Learn more on Bing</v>
  </rv>
  <rv s="8">
    <v>pt-BR</v>
    <v>apmofr</v>
    <v>268435456</v>
    <v>1</v>
    <v>Da plataforma Refinitiv</v>
    <v>17</v>
    <v>18</v>
    <v>DEXXOS PARTICIPAÇÕES S.A. (BVMF:DEXP3)</v>
    <v>12</v>
    <v>19</v>
    <v>Finance</v>
    <v>5</v>
    <v>10.17</v>
    <v>6.93</v>
    <v>BVMF</v>
    <v>103538800</v>
    <v>9.09</v>
    <v>1997</v>
    <v>8.76</v>
    <v>1.1114999999999999</v>
    <v>B3 - Brazil Stock Exchange</v>
    <v>916318380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9.15</v>
    <v>45821.958333333336</v>
    <v>177</v>
    <v>81490</v>
    <v>BRL</v>
    <v>DEXXOS PARTICIPAÇÕES S.A.</v>
    <v>DEXXOS PARTICIPAÇÕES S.A.</v>
    <v>8.99</v>
    <v>8.85</v>
    <v>Rua Do Passeio 70 5 Andar, Centro, RIO DE JANEIRO, RIO DE JANEIRO, 20.021-290 BR</v>
    <v>Chemicals</v>
    <v>DEXP3</v>
    <v>Ações</v>
    <v>DEXXOS PARTICIPAÇÕES S.A. (BVMF:DEXP3)</v>
    <v>-0.3</v>
    <v>-3.2787000000000004E-2</v>
    <v>141300</v>
  </rv>
  <rv s="2">
    <v>178</v>
  </rv>
  <rv s="0">
    <v>https://www.bing.com/financeapi/forcetrigger?t=apnkjc&amp;q=BVMF%3aVLID3&amp;form=skydnc</v>
    <v>Learn more on Bing</v>
  </rv>
  <rv s="7">
    <v>pt-BR</v>
    <v>apnkjc</v>
    <v>268435456</v>
    <v>1</v>
    <v>Da plataforma Refinitiv</v>
    <v>14</v>
    <v>15</v>
    <v>VALID SOLUÇÕES S.A. (BVMF:VLID3)</v>
    <v>12</v>
    <v>16</v>
    <v>Finance</v>
    <v>5</v>
    <v>28.1</v>
    <v>13.13</v>
    <v>BVMF</v>
    <v>81836380</v>
    <v>25.79</v>
    <v>1957</v>
    <v>25</v>
    <v>1.2997000000000001</v>
    <v>B3 - Brazil Stock Exchange</v>
    <v>2077825688</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25.19</v>
    <v>5000</v>
    <v>45821.958333333336</v>
    <v>180</v>
    <v>330960</v>
    <v>BRL</v>
    <v>VALID SOLUÇÕES S.A.</v>
    <v>VALID SOLUÇÕES S.A.</v>
    <v>25.2</v>
    <v>25.39</v>
    <v>R Laura Maiello Kook 511, Ipanema Das Pedras, SOROCABA, SAO PAULO, 18.052-445 BR</v>
    <v>Professional &amp; Commercial Services</v>
    <v>VLID3</v>
    <v>Ações</v>
    <v>VALID SOLUÇÕES S.A. (BVMF:VLID3)</v>
    <v>0.2</v>
    <v>7.9400000000000009E-3</v>
    <v>248600</v>
  </rv>
  <rv s="2">
    <v>181</v>
  </rv>
  <rv s="0">
    <v>https://www.bing.com/financeapi/forcetrigger?t=apmphw&amp;q=BVMF%3aHAGA3&amp;form=skydnc</v>
    <v>Learn more on Bing</v>
  </rv>
  <rv s="8">
    <v>pt-BR</v>
    <v>apmphw</v>
    <v>268435456</v>
    <v>1</v>
    <v>Da plataforma Refinitiv</v>
    <v>17</v>
    <v>18</v>
    <v>HAGA S.A. INDUSTRIA E COMERCIO (BVMF:HAGA3)</v>
    <v>12</v>
    <v>19</v>
    <v>Finance</v>
    <v>5</v>
    <v>3.24</v>
    <v>1.75</v>
    <v>BVMF</v>
    <v>11900000</v>
    <v>1.99</v>
    <v>1937</v>
    <v>1.96</v>
    <v>0.9889</v>
    <v>B3 - Brazil Stock Exchange</v>
    <v>17691330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2</v>
    <v>45821.958333333336</v>
    <v>183</v>
    <v>7960</v>
    <v>BRL</v>
    <v>HAGA S.A. INDUSTRIA E COMERCIO</v>
    <v>HAGA S.A. INDUSTRIA E COMERCIO</v>
    <v>1.97</v>
    <v>1.96</v>
    <v>Avenida Engenheiro Hans Gaiser, 26,Predio, Centro, NOVA FRIBURGO, RIO DE JANEIRO, 28.605-220 BR</v>
    <v>Specialty Retailers</v>
    <v>HAGA3</v>
    <v>Ações</v>
    <v>HAGA S.A. INDUSTRIA E COMERCIO (BVMF:HAGA3)</v>
    <v>-0.04</v>
    <v>-0.02</v>
    <v>3100</v>
  </rv>
  <rv s="2">
    <v>184</v>
  </rv>
  <rv s="0">
    <v>https://www.bing.com/financeapi/forcetrigger?t=bwn8hw&amp;q=BVMF%3aRRRP3&amp;form=skydnc</v>
    <v>Learn more on Bing</v>
  </rv>
  <rv s="7">
    <v>pt-BR</v>
    <v>bwn8hw</v>
    <v>268435456</v>
    <v>1</v>
    <v>Da plataforma Refinitiv</v>
    <v>14</v>
    <v>15</v>
    <v>Brava Energia S.A. (BVMF:BRAV3)</v>
    <v>12</v>
    <v>16</v>
    <v>Finance</v>
    <v>5</v>
    <v>30.28</v>
    <v>15.26</v>
    <v>BVMF</v>
    <v>464180800</v>
    <v>21.8</v>
    <v>2010</v>
    <v>20.61</v>
    <v>1.2834000000000001</v>
    <v>B3 - Brazil Stock Exchange</v>
    <v>9645677024</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20.47</v>
    <v>531</v>
    <v>45821.958333333336</v>
    <v>186</v>
    <v>8279580</v>
    <v>BRL</v>
    <v>Brava Energia S.A.</v>
    <v>Brava Energia S.A.</v>
    <v>21.65</v>
    <v>20.78</v>
    <v>Praia de Botafogo, 186, SL 1401, 1501, Botafogo, Rio De Janeiro, RIO DE JANEIRO, 22.250-145 BR</v>
    <v>Oil &amp; Gas</v>
    <v>BRAV3</v>
    <v>Ações</v>
    <v>Brava Energia S.A. (BVMF:BRAV3)</v>
    <v>0.31</v>
    <v>1.5143999999999999E-2</v>
    <v>13461900</v>
  </rv>
  <rv s="2">
    <v>187</v>
  </rv>
  <rv s="0">
    <v>https://www.bing.com/financeapi/forcetrigger?t=apmxqh&amp;q=BVMF%3aMILS3&amp;form=skydnc</v>
    <v>Learn more on Bing</v>
  </rv>
  <rv s="7">
    <v>pt-BR</v>
    <v>apmxqh</v>
    <v>268435456</v>
    <v>1</v>
    <v>Da plataforma Refinitiv</v>
    <v>14</v>
    <v>15</v>
    <v>Mills Locação, Serviços e Logística S.A (BVMF:MILS3)</v>
    <v>12</v>
    <v>16</v>
    <v>Finance</v>
    <v>5</v>
    <v>11.33</v>
    <v>8.06</v>
    <v>BVMF</v>
    <v>234178200</v>
    <v>10.79</v>
    <v>1980</v>
    <v>10.57</v>
    <v>1.6788000000000001</v>
    <v>B3 - Brazil Stock Exchange</v>
    <v>2496339612</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10.74</v>
    <v>1205</v>
    <v>45821.958333333336</v>
    <v>189</v>
    <v>617160</v>
    <v>BRL</v>
    <v>Mills Locação, Serviços e Logística S.A</v>
    <v>Mills Locação, Serviços e Logística S.A</v>
    <v>10.79</v>
    <v>10.66</v>
    <v>Avenida Dra. Ruth Cardoso, n 7815 - CJ 401-B, Pinheiros, SAO PAULO, SAO PAULO, 05.425-905 BR</v>
    <v>Professional &amp; Commercial Services</v>
    <v>MILS3</v>
    <v>Ações</v>
    <v>Mills Locação, Serviços e Logística S.A (BVMF:MILS3)</v>
    <v>-0.08</v>
    <v>-7.4489999999999999E-3</v>
    <v>304400</v>
  </rv>
  <rv s="2">
    <v>190</v>
  </rv>
  <rv s="0">
    <v>https://www.bing.com/financeapi/forcetrigger?t=apne6h&amp;q=BVMF%3aSTBP3&amp;form=skydnc</v>
    <v>Learn more on Bing</v>
  </rv>
  <rv s="14">
    <v>pt-BR</v>
    <v>apne6h</v>
    <v>268435456</v>
    <v>1</v>
    <v>Da plataforma Refinitiv</v>
    <v>32</v>
    <v>33</v>
    <v>SANTOS BRASIL PARTICIPAÇÕES S.A. (BVMF:STBP3)</v>
    <v>12</v>
    <v>34</v>
    <v>Finance</v>
    <v>35</v>
    <v>13.84</v>
    <v>9.49</v>
    <v>BVMF</v>
    <v>864170300</v>
    <v>13.72</v>
    <v>1998</v>
    <v>13.69</v>
    <v>1.2463</v>
    <v>B3 - Brazil Stock Exchange</v>
    <v>11847774813</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v>
    <v>3703</v>
    <v>45821.958333333336</v>
    <v>192</v>
    <v>3606130</v>
    <v>BRL</v>
    <v>SANTOS BRASIL PARTICIPAÇÕES S.A.</v>
    <v>SANTOS BRASIL PARTICIPAÇÕES S.A.</v>
    <v>13.69</v>
    <v>13.71</v>
    <v>13.7</v>
    <v>Rua Joaquim Floriano, 413 - 10 andar cj 101 e 102, Itaim Bibi, SAO PAULO, SAO PAULO, 04.534-011 BR</v>
    <v>Transport Infrastructure</v>
    <v>STBP3</v>
    <v>Ações</v>
    <v>SANTOS BRASIL PARTICIPAÇÕES S.A. (BVMF:STBP3)</v>
    <v>0.01</v>
    <v>7.2990000000000001E-4</v>
    <v>1859500</v>
  </rv>
  <rv s="2">
    <v>193</v>
  </rv>
  <rv s="0">
    <v>https://www.bing.com/financeapi/forcetrigger?t=ayd527&amp;q=BVMF%3aVBBR3&amp;form=skydnc</v>
    <v>Learn more on Bing</v>
  </rv>
  <rv s="7">
    <v>pt-BR</v>
    <v>ayd527</v>
    <v>268435456</v>
    <v>1</v>
    <v>Da plataforma Refinitiv</v>
    <v>14</v>
    <v>15</v>
    <v>Vibra Energia S.A. (BVMF:VBBR3)</v>
    <v>12</v>
    <v>16</v>
    <v>Finance</v>
    <v>5</v>
    <v>25.31</v>
    <v>15.33</v>
    <v>BVMF</v>
    <v>1119000000</v>
    <v>21.29</v>
    <v>1971</v>
    <v>20.85</v>
    <v>1.0185</v>
    <v>B3 - Brazil Stock Exchange</v>
    <v>23577330000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21.11</v>
    <v>3814</v>
    <v>45821.958333333336</v>
    <v>195</v>
    <v>9489170</v>
    <v>BRL</v>
    <v>Vibra Energia S.A.</v>
    <v>Vibra Energia S.A.</v>
    <v>21.05</v>
    <v>21.07</v>
    <v>Rua Correia Vasques n 250 4 andar, Cidade Nova, RIO DE JANEIRO, RIO DE JANEIRO, 20.211-140 BR</v>
    <v>Oil &amp; Gas</v>
    <v>VBBR3</v>
    <v>Ações</v>
    <v>Vibra Energia S.A. (BVMF:VBBR3)</v>
    <v>-0.04</v>
    <v>-1.895E-3</v>
    <v>8141600</v>
  </rv>
  <rv s="2">
    <v>196</v>
  </rv>
  <rv s="0">
    <v>https://www.bing.com/financeapi/forcetrigger?t=apmm2w&amp;q=BVMF%3aFRAS3&amp;form=skydnc</v>
    <v>Learn more on Bing</v>
  </rv>
  <rv s="8">
    <v>pt-BR</v>
    <v>apmm2w</v>
    <v>268435456</v>
    <v>1</v>
    <v>Da plataforma Refinitiv</v>
    <v>17</v>
    <v>18</v>
    <v>FRAS-LE S.A. (BVMF:FRAS3)</v>
    <v>12</v>
    <v>19</v>
    <v>Finance</v>
    <v>5</v>
    <v>29.94</v>
    <v>16.32</v>
    <v>BVMF</v>
    <v>270016300</v>
    <v>27.36</v>
    <v>1954</v>
    <v>26.95</v>
    <v>0.93489999999999995</v>
    <v>B3 - Brazil Stock Exchange</v>
    <v>7298540589</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27.24</v>
    <v>45821.958333333336</v>
    <v>198</v>
    <v>350710</v>
    <v>BRL</v>
    <v>FRAS-LE S.A.</v>
    <v>FRAS-LE S.A.</v>
    <v>27.15</v>
    <v>27.03</v>
    <v>Rodovia RS 122, Km 66, n 10.945 Predio adm, Forqueta, CAXIAS DO SUL, RIO GRANDE DO SUL, 95.010-550 BR</v>
    <v>Automobiles &amp; Auto Parts</v>
    <v>FRAS3</v>
    <v>Ações</v>
    <v>FRAS-LE S.A. (BVMF:FRAS3)</v>
    <v>-0.21</v>
    <v>-7.7090000000000006E-3</v>
    <v>367800</v>
  </rv>
  <rv s="2">
    <v>199</v>
  </rv>
  <rv s="0">
    <v>https://www.bing.com/financeapi/forcetrigger?t=aplvu2&amp;q=BVMF%3aALUP4&amp;form=skydnc</v>
    <v>Learn more on Bing</v>
  </rv>
  <rv s="7">
    <v>pt-BR</v>
    <v>aplvu2</v>
    <v>268435456</v>
    <v>1</v>
    <v>Da plataforma Refinitiv</v>
    <v>14</v>
    <v>15</v>
    <v>Alupar Investimento S.A. (BVMF:ALUP4)</v>
    <v>12</v>
    <v>16</v>
    <v>Finance</v>
    <v>5</v>
    <v>10.3</v>
    <v>8.19</v>
    <v>BVMF</v>
    <v>329626900</v>
    <v>9.7100000000000009</v>
    <v>2006</v>
    <v>9.61</v>
    <v>0.59940000000000004</v>
    <v>B3 - Brazil Stock Exchange</v>
    <v>9971213000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9.7200000000000006</v>
    <v>906</v>
    <v>45821.958333333336</v>
    <v>201</v>
    <v>980110</v>
    <v>BRL</v>
    <v>Alupar Investimento S.A.</v>
    <v>Alupar Investimento S.A.</v>
    <v>9.69</v>
    <v>9.6300000000000008</v>
    <v>Rua Gomes de Carvalho, n 1996 16 andar, Vila Olimpia, SAO PAULO, SAO PAULO, 04.547-006 BR</v>
    <v>Electrical Utilities &amp; IPPs</v>
    <v>ALUP4</v>
    <v>Ações</v>
    <v>Alupar Investimento S.A. (BVMF:ALUP4)</v>
    <v>-0.09</v>
    <v>-9.2589999999999999E-3</v>
    <v>5000</v>
  </rv>
  <rv s="2">
    <v>202</v>
  </rv>
  <rv s="0">
    <v>https://www.bing.com/financeapi/forcetrigger?t=apnhim&amp;q=BVMF%3aTRIS3&amp;form=skydnc</v>
    <v>Learn more on Bing</v>
  </rv>
  <rv s="7">
    <v>pt-BR</v>
    <v>apnhim</v>
    <v>268435456</v>
    <v>1</v>
    <v>Da plataforma Refinitiv</v>
    <v>14</v>
    <v>15</v>
    <v>TRISUL S.A. (BVMF:TRIS3)</v>
    <v>12</v>
    <v>16</v>
    <v>Finance</v>
    <v>5</v>
    <v>8.1</v>
    <v>3.97</v>
    <v>BVMF</v>
    <v>186617500</v>
    <v>7.77</v>
    <v>2007</v>
    <v>7.61</v>
    <v>1.5411999999999999</v>
    <v>B3 - Brazil Stock Exchange</v>
    <v>1425757700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7.75</v>
    <v>379</v>
    <v>45821.958333333336</v>
    <v>204</v>
    <v>621700</v>
    <v>BRL</v>
    <v>TRISUL S.A.</v>
    <v>TRISUL S.A.</v>
    <v>7.69</v>
    <v>7.64</v>
    <v>Alameda dos Jaunas, 70, Indianopolis, SAO PAULO, SAO PAULO, 01.311-902 BR</v>
    <v>Homebuilding &amp; Construction Supplies</v>
    <v>TRIS3</v>
    <v>Ações</v>
    <v>TRISUL S.A. (BVMF:TRIS3)</v>
    <v>-0.11</v>
    <v>-1.4194E-2</v>
    <v>794400</v>
  </rv>
  <rv s="2">
    <v>205</v>
  </rv>
  <rv s="0">
    <v>https://www.bing.com/financeapi/forcetrigger?t=apngdm&amp;q=BVMF%3aTGMA3&amp;form=skydnc</v>
    <v>Learn more on Bing</v>
  </rv>
  <rv s="7">
    <v>pt-BR</v>
    <v>apngdm</v>
    <v>268435456</v>
    <v>1</v>
    <v>Da plataforma Refinitiv</v>
    <v>14</v>
    <v>15</v>
    <v>Tegma Gestão Logística S.A (BVMF:TGMA3)</v>
    <v>12</v>
    <v>16</v>
    <v>Finance</v>
    <v>5</v>
    <v>37.83</v>
    <v>21.02</v>
    <v>BVMF</v>
    <v>66002920</v>
    <v>36.880000000000003</v>
    <v>1998</v>
    <v>36.4</v>
    <v>1.171</v>
    <v>B3 - Brazil Stock Exchange</v>
    <v>2402506288</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36.880000000000003</v>
    <v>5086</v>
    <v>45821.958333333336</v>
    <v>207</v>
    <v>336990</v>
    <v>BRL</v>
    <v>Tegma Gestão Logística S.A</v>
    <v>Tegma Gestão Logística S.A</v>
    <v>36.880000000000003</v>
    <v>36.4</v>
    <v>Av. Nicola Demarchi, 2000, Demarchi, SAO BERNARDO DO CAMPO, SAO PAULO, 09.820-655 BR</v>
    <v>Freight &amp; Logistics Services</v>
    <v>TGMA3</v>
    <v>Ações</v>
    <v>Tegma Gestão Logística S.A (BVMF:TGMA3)</v>
    <v>-0.48</v>
    <v>-1.3015000000000001E-2</v>
    <v>140100</v>
  </rv>
  <rv s="2">
    <v>208</v>
  </rv>
  <rv s="0">
    <v>https://www.bing.com/financeapi/forcetrigger?t=apn9cw&amp;q=BVMF%3aREDE3&amp;form=skydnc</v>
    <v>Learn more on Bing</v>
  </rv>
  <rv s="7">
    <v>pt-BR</v>
    <v>apn9cw</v>
    <v>268435456</v>
    <v>1</v>
    <v>Da plataforma Refinitiv</v>
    <v>14</v>
    <v>15</v>
    <v>Rede Energia Participações S.A (BVMF:REDE3)</v>
    <v>12</v>
    <v>16</v>
    <v>Finance</v>
    <v>5</v>
    <v>7.28</v>
    <v>5.89</v>
    <v>BVMF</v>
    <v>2110323000</v>
    <v>6.83</v>
    <v>1929</v>
    <v>6.66</v>
    <v>0.21329999999999999</v>
    <v>B3 - Brazil Stock Exchange</v>
    <v>14392402860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6.83</v>
    <v>7703</v>
    <v>45821.958333333336</v>
    <v>210</v>
    <v>960</v>
    <v>BRL</v>
    <v>Rede Energia Participações S.A</v>
    <v>Rede Energia Participações S.A</v>
    <v>6.83</v>
    <v>6.82</v>
    <v>Praca Rui Barbosa,n 80, Centro, CATAGUASES, MINAS GERAIS, 36.770-901 BR</v>
    <v>Electrical Utilities &amp; IPPs</v>
    <v>REDE3</v>
    <v>Ações</v>
    <v>Rede Energia Participações S.A (BVMF:REDE3)</v>
    <v>-0.01</v>
    <v>-1.464E-3</v>
    <v>1100</v>
  </rv>
  <rv s="2">
    <v>211</v>
  </rv>
  <rv s="0">
    <v>https://www.bing.com/financeapi/forcetrigger?t=apn9u2&amp;q=BVMF%3aRNEW3&amp;form=skydnc</v>
    <v>Learn more on Bing</v>
  </rv>
  <rv s="7">
    <v>pt-BR</v>
    <v>apn9u2</v>
    <v>268435456</v>
    <v>1</v>
    <v>Da plataforma Refinitiv</v>
    <v>14</v>
    <v>15</v>
    <v>RENOVA ENERGIA S.A. - EM RECUPERAÇÃO JUDICIAL (BVMF:RNEW3)</v>
    <v>12</v>
    <v>16</v>
    <v>Finance</v>
    <v>5</v>
    <v>2.6</v>
    <v>1.1399999999999999</v>
    <v>BVMF</v>
    <v>124061300</v>
    <v>1.18</v>
    <v>2006</v>
    <v>1.1399999999999999</v>
    <v>1.3224</v>
    <v>B3 - Brazil Stock Exchange</v>
    <v>438553300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1.18</v>
    <v>141</v>
    <v>45821.958333333336</v>
    <v>213</v>
    <v>100210</v>
    <v>BRL</v>
    <v>RENOVA ENERGIA S.A. - EM RECUPERAÇÃO JUDICIAL</v>
    <v>RENOVA ENERGIA S.A. - EM RECUPERAÇÃO JUDICIAL</v>
    <v>1.18</v>
    <v>1.1599999999999999</v>
    <v>Avenida das Nacoes Unidas, n 10.989, conjunto 82, Vila Olimpia, SAO PAULO, SAO PAULO, 04.578-000 BR</v>
    <v>Electrical Utilities &amp; IPPs</v>
    <v>RNEW3</v>
    <v>Ações</v>
    <v>RENOVA ENERGIA S.A. - EM RECUPERAÇÃO JUDICIAL (BVMF:RNEW3)</v>
    <v>-0.02</v>
    <v>-1.6949000000000002E-2</v>
    <v>26600</v>
  </rv>
  <rv s="2">
    <v>214</v>
  </rv>
  <rv s="0">
    <v>https://www.bing.com/financeapi/forcetrigger?t=apmdz2&amp;q=BVMF%3aCVCB3&amp;form=skydnc</v>
    <v>Learn more on Bing</v>
  </rv>
  <rv s="7">
    <v>pt-BR</v>
    <v>apmdz2</v>
    <v>268435456</v>
    <v>1</v>
    <v>Da plataforma Refinitiv</v>
    <v>14</v>
    <v>15</v>
    <v>CVC Brasil Operadora e Agência de Viagens S.A. (BVMF:CVCB3)</v>
    <v>12</v>
    <v>16</v>
    <v>Finance</v>
    <v>5</v>
    <v>2.92</v>
    <v>1.33</v>
    <v>BVMF</v>
    <v>525591100</v>
    <v>2.5</v>
    <v>2009</v>
    <v>2.2999999999999998</v>
    <v>2.5171999999999999</v>
    <v>B3 - Brazil Stock Exchange</v>
    <v>1214115441</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2.52</v>
    <v>2000</v>
    <v>45821.958333333336</v>
    <v>216</v>
    <v>13551480</v>
    <v>BRL</v>
    <v>CVC Brasil Operadora e Agência de Viagens S.A.</v>
    <v>CVC Brasil Operadora e Agência de Viagens S.A.</v>
    <v>2.5</v>
    <v>2.31</v>
    <v>Rua da Catequese, 227, 11 andar, sala 111, Jardim, SANTO ANDRE, SAO PAULO, 09.090-401 BR</v>
    <v>Hotels &amp; Entertainment Services</v>
    <v>CVCB3</v>
    <v>Ações</v>
    <v>CVC Brasil Operadora e Agência de Viagens S.A. (BVMF:CVCB3)</v>
    <v>-0.21</v>
    <v>-8.333299999999999E-2</v>
    <v>18669700</v>
  </rv>
  <rv s="2">
    <v>217</v>
  </rv>
  <rv s="0">
    <v>https://www.bing.com/financeapi/forcetrigger?t=bxo6p2&amp;q=BVMF%3aORVR3&amp;form=skydnc</v>
    <v>Learn more on Bing</v>
  </rv>
  <rv s="8">
    <v>pt-BR</v>
    <v>bxo6p2</v>
    <v>268435456</v>
    <v>1</v>
    <v>Da plataforma Refinitiv</v>
    <v>17</v>
    <v>18</v>
    <v>Orizon Valorização de Resíduos S.A. (BVMF:ORVR3)</v>
    <v>12</v>
    <v>19</v>
    <v>Finance</v>
    <v>5</v>
    <v>54.47</v>
    <v>36.04</v>
    <v>BVMF</v>
    <v>88656280</v>
    <v>51.88</v>
    <v>2009</v>
    <v>51.07</v>
    <v>0.88470000000000004</v>
    <v>B3 - Brazil Stock Exchange</v>
    <v>4585302801</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51.65</v>
    <v>45821.958333333336</v>
    <v>219</v>
    <v>389380</v>
    <v>BRL</v>
    <v>Orizon Valorização de Resíduos S.A.</v>
    <v>Orizon Valorização de Resíduos S.A.</v>
    <v>51.33</v>
    <v>51.72</v>
    <v>Avenida das Nacoes Unidas, 12.901 8 andar, Torre Oest, Brooklin Paulista, SAO PAULO, SAO PAULO, 04.578-910 BR</v>
    <v>Professional &amp; Commercial Services</v>
    <v>ORVR3</v>
    <v>Ações</v>
    <v>Orizon Valorização de Resíduos S.A. (BVMF:ORVR3)</v>
    <v>7.0000000000000007E-2</v>
    <v>1.3550000000000001E-3</v>
    <v>402600</v>
  </rv>
  <rv s="2">
    <v>220</v>
  </rv>
  <rv s="0">
    <v>https://www.bing.com/financeapi/forcetrigger?t=apmrxm&amp;q=BVMF%3aIRBR3&amp;form=skydnc</v>
    <v>Learn more on Bing</v>
  </rv>
  <rv s="7">
    <v>pt-BR</v>
    <v>apmrxm</v>
    <v>268435456</v>
    <v>1</v>
    <v>Da plataforma Refinitiv</v>
    <v>14</v>
    <v>15</v>
    <v>IRB-Brasil Resseguros S.A. (BVMF:IRBR3)</v>
    <v>12</v>
    <v>16</v>
    <v>Finance</v>
    <v>5</v>
    <v>57.99</v>
    <v>27.51</v>
    <v>BVMF</v>
    <v>81842890</v>
    <v>48.49</v>
    <v>1939</v>
    <v>46.94</v>
    <v>1.3090999999999999</v>
    <v>B3 - Brazil Stock Exchange</v>
    <v>3850707974</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48.61</v>
    <v>399</v>
    <v>45821.958333333336</v>
    <v>222</v>
    <v>907580</v>
    <v>BRL</v>
    <v>IRB-Brasil Resseguros S.A.</v>
    <v>IRB-Brasil Resseguros S.A.</v>
    <v>48.4</v>
    <v>47.05</v>
    <v>Av. Republica do Chile, n 330, Torre Leste, e 4 andares, Centro, RIO DE JANEIRO, RIO DE JANEIRO, 20.031-170 BR</v>
    <v>Insurance</v>
    <v>IRBR3</v>
    <v>Ações</v>
    <v>IRB-Brasil Resseguros S.A. (BVMF:IRBR3)</v>
    <v>-1.56</v>
    <v>-3.2092000000000002E-2</v>
    <v>885200</v>
  </rv>
  <rv s="2">
    <v>223</v>
  </rv>
  <rv s="0">
    <v>https://www.bing.com/financeapi/forcetrigger?t=apmg1h&amp;q=BVMF%3aEALT4&amp;form=skydnc</v>
    <v>Learn more on Bing</v>
  </rv>
  <rv s="7">
    <v>pt-BR</v>
    <v>apmg1h</v>
    <v>268435456</v>
    <v>1</v>
    <v>Da plataforma Refinitiv</v>
    <v>14</v>
    <v>15</v>
    <v>ELECTRO ACO ALTONA S.A. (BVMF:EALT4)</v>
    <v>12</v>
    <v>16</v>
    <v>Finance</v>
    <v>5</v>
    <v>16.899999999999999</v>
    <v>10.07</v>
    <v>BVMF</v>
    <v>22500000</v>
    <v>14.7</v>
    <v>1924</v>
    <v>14.42</v>
    <v>0.55610000000000004</v>
    <v>B3 - Brazil Stock Exchange</v>
    <v>333037500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14.65</v>
    <v>1405</v>
    <v>45821.958333333336</v>
    <v>225</v>
    <v>7320</v>
    <v>BRL</v>
    <v>ELECTRO ACO ALTONA S.A.</v>
    <v>ELECTRO ACO ALTONA S.A.</v>
    <v>14.6</v>
    <v>14.65</v>
    <v>Rua Eng. Paul Werner 925,CONTABILIDADE, itoupava Seca, BLUMENAU, SANTA CATARINA, 89.030-900 BR</v>
    <v>Metals &amp; Mining</v>
    <v>EALT4</v>
    <v>Ações</v>
    <v>ELECTRO ACO ALTONA S.A. (BVMF:EALT4)</v>
    <v>0</v>
    <v>0</v>
    <v>5500</v>
  </rv>
  <rv s="2">
    <v>226</v>
  </rv>
  <rv s="0">
    <v>https://www.bing.com/financeapi/forcetrigger?t=apmoww&amp;q=BVMF%3aGRND3&amp;form=skydnc</v>
    <v>Learn more on Bing</v>
  </rv>
  <rv s="7">
    <v>pt-BR</v>
    <v>apmoww</v>
    <v>268435456</v>
    <v>1</v>
    <v>Da plataforma Refinitiv</v>
    <v>14</v>
    <v>15</v>
    <v>Grendene S.A. (BVMF:GRND3)</v>
    <v>12</v>
    <v>16</v>
    <v>Finance</v>
    <v>5</v>
    <v>5.82</v>
    <v>4.55</v>
    <v>BVMF</v>
    <v>902160000</v>
    <v>5.5</v>
    <v>1971</v>
    <v>5.32</v>
    <v>0.85429999999999995</v>
    <v>B3 - Brazil Stock Exchange</v>
    <v>4961880000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5.45</v>
    <v>17370</v>
    <v>45821.958333333336</v>
    <v>228</v>
    <v>2610810</v>
    <v>BRL</v>
    <v>Grendene S.A.</v>
    <v>Grendene S.A.</v>
    <v>5.39</v>
    <v>5.5</v>
    <v>Avenida Pimentel Gomes 214, Expectativa, SOBRAL, CEARA, 62.040-125 BR</v>
    <v>Textiles &amp; Apparel</v>
    <v>GRND3</v>
    <v>Ações</v>
    <v>Grendene S.A. (BVMF:GRND3)</v>
    <v>0.05</v>
    <v>9.1739999999999999E-3</v>
    <v>1443900</v>
  </rv>
  <rv s="2">
    <v>229</v>
  </rv>
  <rv s="0">
    <v>https://www.bing.com/financeapi/forcetrigger?t=apm3ar&amp;q=BVMF%3aBPAN4&amp;form=skydnc</v>
    <v>Learn more on Bing</v>
  </rv>
  <rv s="7">
    <v>pt-BR</v>
    <v>apm3ar</v>
    <v>268435456</v>
    <v>1</v>
    <v>Da plataforma Refinitiv</v>
    <v>14</v>
    <v>15</v>
    <v>BANCO PAN S.A. (BVMF:BPAN4)</v>
    <v>12</v>
    <v>16</v>
    <v>Finance</v>
    <v>5</v>
    <v>10.55</v>
    <v>6.14</v>
    <v>BVMF</v>
    <v>611509500</v>
    <v>8.3800000000000008</v>
    <v>1966</v>
    <v>8.14</v>
    <v>1.5348999999999999</v>
    <v>B3 - Brazil Stock Exchange</v>
    <v>4983802425</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8.3800000000000008</v>
    <v>2433</v>
    <v>45821.958333333336</v>
    <v>231</v>
    <v>2628870</v>
    <v>BRL</v>
    <v>BANCO PAN S.A.</v>
    <v>BANCO PAN S.A.</v>
    <v>8.3800000000000008</v>
    <v>8.15</v>
    <v>Avenida Paulista, 1374 16 andar, Bela Vista, SAO PAULO, SAO PAULO, 01.310-100 BR</v>
    <v>Banking Services</v>
    <v>BPAN4</v>
    <v>Ações</v>
    <v>BANCO PAN S.A. (BVMF:BPAN4)</v>
    <v>-0.23</v>
    <v>-2.7446000000000002E-2</v>
    <v>1046100</v>
  </rv>
  <rv s="2">
    <v>232</v>
  </rv>
  <rv s="0">
    <v>https://www.bing.com/financeapi/forcetrigger?t=apnlim&amp;q=BVMF%3aWEGE3&amp;form=skydnc</v>
    <v>Learn more on Bing</v>
  </rv>
  <rv s="7">
    <v>pt-BR</v>
    <v>apnlim</v>
    <v>268435456</v>
    <v>1</v>
    <v>Da plataforma Refinitiv</v>
    <v>14</v>
    <v>15</v>
    <v>WEG S.A. (BVMF:WEGE3)</v>
    <v>12</v>
    <v>16</v>
    <v>Finance</v>
    <v>5</v>
    <v>59.27</v>
    <v>36.51</v>
    <v>BVMF</v>
    <v>4197318000</v>
    <v>42.93</v>
    <v>1961</v>
    <v>41.6</v>
    <v>0.45440000000000003</v>
    <v>B3 - Brazil Stock Exchange</v>
    <v>177924310020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42.26</v>
    <v>47529</v>
    <v>45821.958333333336</v>
    <v>234</v>
    <v>7783460</v>
    <v>BRL</v>
    <v>WEG S.A.</v>
    <v>WEG S.A.</v>
    <v>41.75</v>
    <v>42.39</v>
    <v>Av. Prefeito Waldemar Grubba,3300, Vila Lalau, JARAGUA DO SUL, SANTA CATARINA, 89.256-900 BR</v>
    <v>Machinery, Equipment &amp; Components</v>
    <v>WEGE3</v>
    <v>Ações</v>
    <v>WEG S.A. (BVMF:WEGE3)</v>
    <v>0.13</v>
    <v>3.0759999999999997E-3</v>
    <v>4921100</v>
  </rv>
  <rv s="2">
    <v>235</v>
  </rv>
  <rv s="0">
    <v>https://www.bing.com/financeapi/forcetrigger?t=apmgoc&amp;q=BVMF%3aEGIE3&amp;form=skydnc</v>
    <v>Learn more on Bing</v>
  </rv>
  <rv s="7">
    <v>pt-BR</v>
    <v>apmgoc</v>
    <v>268435456</v>
    <v>1</v>
    <v>Da plataforma Refinitiv</v>
    <v>14</v>
    <v>15</v>
    <v>ENGIE BRASIL ENERGIA S.A. (BVMF:EGIE3)</v>
    <v>12</v>
    <v>16</v>
    <v>Finance</v>
    <v>5</v>
    <v>44.87</v>
    <v>33.65</v>
    <v>BVMF</v>
    <v>815927700</v>
    <v>41.02</v>
    <v>1998</v>
    <v>39.76</v>
    <v>0.58350000000000002</v>
    <v>B3 - Brazil Stock Exchange</v>
    <v>33012434742</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40.35</v>
    <v>1173</v>
    <v>45821.958333333336</v>
    <v>237</v>
    <v>1485500</v>
    <v>BRL</v>
    <v>ENGIE BRASIL ENERGIA S.A.</v>
    <v>ENGIE BRASIL ENERGIA S.A.</v>
    <v>40.020000000000003</v>
    <v>40.46</v>
    <v>Rua Paschoal Apostolo Pitsica, 5064, Agronomica, FLORIANOPOLIS, SANTA CATARINA, 88.025-255 BR</v>
    <v>Electrical Utilities &amp; IPPs</v>
    <v>EGIE3</v>
    <v>Ações</v>
    <v>ENGIE BRASIL ENERGIA S.A. (BVMF:EGIE3)</v>
    <v>0.11</v>
    <v>2.7260000000000001E-3</v>
    <v>1704300</v>
  </rv>
  <rv s="2">
    <v>238</v>
  </rv>
  <rv s="0">
    <v>https://www.bing.com/financeapi/forcetrigger?t=apmsoc&amp;q=BVMF%3aJBSS3&amp;form=skydnc</v>
    <v>Learn more on Bing</v>
  </rv>
  <rv s="7">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240</v>
    <v>23419940</v>
    <v>BRL</v>
    <v>JBS S.A.</v>
    <v>JBS S.A.</v>
    <v>38.4</v>
    <v>39.03</v>
    <v>Av. Marginal Direita do Tiete, 500, Bloco 3 - 3 andar, Vila Jaguara, SAO PAULO, SAO PAULO, 05.118-100 BR</v>
    <v>Food &amp; Tobacco</v>
    <v>JBSS3</v>
    <v>Ações</v>
    <v>JBS S.A. (BVMF:JBSS3)</v>
    <v>0</v>
    <v>0</v>
    <v>94391100</v>
  </rv>
  <rv s="2">
    <v>241</v>
  </rv>
  <rv s="0">
    <v>https://www.bing.com/financeapi/forcetrigger?t=apn4m7&amp;q=BVMF%3aPFRM3&amp;form=skydnc</v>
    <v>Learn more on Bing</v>
  </rv>
  <rv s="7">
    <v>pt-BR</v>
    <v>apn4m7</v>
    <v>268435456</v>
    <v>1</v>
    <v>Da plataforma Refinitiv</v>
    <v>14</v>
    <v>15</v>
    <v>Profarma Distribuidora de Produtos Farmacêuticos S.A. (BVMF:PFRM3)</v>
    <v>12</v>
    <v>16</v>
    <v>Finance</v>
    <v>5</v>
    <v>8.81</v>
    <v>4.53</v>
    <v>BVMF</v>
    <v>123812800</v>
    <v>8.81</v>
    <v>1961</v>
    <v>8.57</v>
    <v>1.3019000000000001</v>
    <v>B3 - Brazil Stock Exchange</v>
    <v>1075933232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8.74</v>
    <v>7077</v>
    <v>45821.958333333336</v>
    <v>243</v>
    <v>154530</v>
    <v>BRL</v>
    <v>Profarma Distribuidora de Produtos Farmacêuticos S.A.</v>
    <v>Profarma Distribuidora de Produtos Farmacêuticos S.A.</v>
    <v>8.68</v>
    <v>8.69</v>
    <v>Avenida Ayrton Senna, 2150, Bloco P - 3 andar, Barra da Tijuca, RIO DE JANEIRO, RIO DE JANEIRO, 22.775-900 BR</v>
    <v>Pharmaceuticals</v>
    <v>PFRM3</v>
    <v>Ações</v>
    <v>Profarma Distribuidora de Produtos Farmacêuticos S.A. (BVMF:PFRM3)</v>
    <v>-0.05</v>
    <v>-5.7210000000000004E-3</v>
    <v>175800</v>
  </rv>
  <rv s="2">
    <v>244</v>
  </rv>
  <rv s="0">
    <v>https://www.bing.com/financeapi/forcetrigger?t=apmik2&amp;q=BVMF%3aEQTL3&amp;form=skydnc</v>
    <v>Learn more on Bing</v>
  </rv>
  <rv s="7">
    <v>pt-BR</v>
    <v>apmik2</v>
    <v>268435456</v>
    <v>1</v>
    <v>Da plataforma Refinitiv</v>
    <v>14</v>
    <v>15</v>
    <v>EQUATORIAL S.A. (BVMF:EQTL3)</v>
    <v>12</v>
    <v>16</v>
    <v>Finance</v>
    <v>5</v>
    <v>37.520000000000003</v>
    <v>25.65</v>
    <v>BVMF</v>
    <v>1254548000</v>
    <v>36.590000000000003</v>
    <v>1999</v>
    <v>35.979999999999997</v>
    <v>0.9214</v>
    <v>B3 - Brazil Stock Exchange</v>
    <v>45665547200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36.53</v>
    <v>1178</v>
    <v>45821.958333333336</v>
    <v>246</v>
    <v>7906440</v>
    <v>BRL</v>
    <v>EQUATORIAL S.A.</v>
    <v>EQUATORIAL S.A.</v>
    <v>36.03</v>
    <v>36.4</v>
    <v>Alameda A, Quadra SQS, n 100, Loteamento Quitandinha Anexo A, sala 31, Altos do Calhau, SAO LUIS, MARANHAO, 65.070-900 BR</v>
    <v>Electrical Utilities &amp; IPPs</v>
    <v>EQTL3</v>
    <v>Ações</v>
    <v>EQUATORIAL S.A. (BVMF:EQTL3)</v>
    <v>-0.13</v>
    <v>-3.5590000000000001E-3</v>
    <v>10091100</v>
  </rv>
  <rv s="2">
    <v>247</v>
  </rv>
  <rv s="0">
    <v>https://www.bing.com/financeapi/forcetrigger?t=bqyxtc&amp;q=BVMF%3aNEOE3&amp;form=skydnc</v>
    <v>Learn more on Bing</v>
  </rv>
  <rv s="7">
    <v>pt-BR</v>
    <v>bqyxtc</v>
    <v>268435456</v>
    <v>1</v>
    <v>Da plataforma Refinitiv</v>
    <v>14</v>
    <v>15</v>
    <v>NEOENERGIA S.A. (BVMF:NEOE3)</v>
    <v>12</v>
    <v>16</v>
    <v>Finance</v>
    <v>5</v>
    <v>25.41</v>
    <v>17.05</v>
    <v>BVMF</v>
    <v>1213797000</v>
    <v>24.53</v>
    <v>1996</v>
    <v>24.07</v>
    <v>0.7712</v>
    <v>B3 - Brazil Stock Exchange</v>
    <v>29665210000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24.44</v>
    <v>11746</v>
    <v>45821.958333333336</v>
    <v>249</v>
    <v>744690</v>
    <v>BRL</v>
    <v>NEOENERGIA S.A.</v>
    <v>NEOENERGIA S.A.</v>
    <v>24.37</v>
    <v>24.45</v>
    <v>Praia do Flamengo, 78, 3 andar, Flamengo, RIO DE JANEIRO, RIO DE JANEIRO, 22.210-030 BR</v>
    <v>Electrical Utilities &amp; IPPs</v>
    <v>NEOE3</v>
    <v>Ações</v>
    <v>NEOENERGIA S.A. (BVMF:NEOE3)</v>
    <v>0.01</v>
    <v>4.0919999999999997E-4</v>
    <v>341800</v>
  </rv>
  <rv s="2">
    <v>250</v>
  </rv>
  <rv s="0">
    <v>https://www.bing.com/financeapi/forcetrigger?t=apn5im&amp;q=BVMF%3aPOSI3&amp;form=skydnc</v>
    <v>Learn more on Bing</v>
  </rv>
  <rv s="7">
    <v>pt-BR</v>
    <v>apn5im</v>
    <v>268435456</v>
    <v>1</v>
    <v>Da plataforma Refinitiv</v>
    <v>14</v>
    <v>15</v>
    <v>POSITIVO TECNOLOGIA S.A. (BVMF:POSI3)</v>
    <v>12</v>
    <v>16</v>
    <v>Finance</v>
    <v>5</v>
    <v>8.58</v>
    <v>4.28</v>
    <v>BVMF</v>
    <v>141800000</v>
    <v>4.46</v>
    <v>1989</v>
    <v>4.33</v>
    <v>1.8138000000000001</v>
    <v>B3 - Brazil Stock Exchange</v>
    <v>632428000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4.46</v>
    <v>7000</v>
    <v>45821.958333333336</v>
    <v>252</v>
    <v>1496330</v>
    <v>BRL</v>
    <v>POSITIVO TECNOLOGIA S.A.</v>
    <v>POSITIVO TECNOLOGIA S.A.</v>
    <v>4.45</v>
    <v>4.46</v>
    <v>Rua Joao Bettega, 5200, Nao aplicavel, Cidade Industrial, CURITIBA, PARANA, 81.350-000 BR</v>
    <v>Computers, Phones &amp; Household Electronics</v>
    <v>POSI3</v>
    <v>Ações</v>
    <v>POSITIVO TECNOLOGIA S.A. (BVMF:POSI3)</v>
    <v>0</v>
    <v>0</v>
    <v>927300</v>
  </rv>
  <rv s="2">
    <v>253</v>
  </rv>
  <rv s="0">
    <v>https://www.bing.com/financeapi/forcetrigger?t=bxk8w7&amp;q=BVMF%3aWEST3&amp;form=skydnc</v>
    <v>Learn more on Bing</v>
  </rv>
  <rv s="8">
    <v>pt-BR</v>
    <v>bxk8w7</v>
    <v>268435456</v>
    <v>1</v>
    <v>Da plataforma Refinitiv</v>
    <v>17</v>
    <v>18</v>
    <v>WESTWING COMÉRCIO VAREJISTA S.A. (BVMF:WEST3)</v>
    <v>12</v>
    <v>19</v>
    <v>Finance</v>
    <v>5</v>
    <v>10.199999999999999</v>
    <v>4.1399999999999997</v>
    <v>BVMF</v>
    <v>11109350</v>
    <v>4.25</v>
    <v>2012</v>
    <v>4.2300000000000004</v>
    <v>1.1748000000000001</v>
    <v>B3 - Brazil Stock Exchange</v>
    <v>47214737</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4.22</v>
    <v>45821.958333333336</v>
    <v>255</v>
    <v>16190</v>
    <v>BRL</v>
    <v>WESTWING COMÉRCIO VAREJISTA S.A.</v>
    <v>WESTWING COMÉRCIO VAREJISTA S.A.</v>
    <v>4.2300000000000004</v>
    <v>4.25</v>
    <v>Av. Queiroz Filho, 1700 Torre A e B (partes), Vila Hamburguesa, Sao Paulo, SAO PAULO, 05.319-000 BR</v>
    <v>Specialty Retailers</v>
    <v>WEST3</v>
    <v>Ações</v>
    <v>WESTWING COMÉRCIO VAREJISTA S.A. (BVMF:WEST3)</v>
    <v>0.03</v>
    <v>7.1089999999999999E-3</v>
    <v>600</v>
  </rv>
  <rv s="2">
    <v>256</v>
  </rv>
  <rv s="0">
    <v>https://www.bing.com/financeapi/forcetrigger?t=apmwu2&amp;q=BVMF%3aMDIA3&amp;form=skydnc</v>
    <v>Learn more on Bing</v>
  </rv>
  <rv s="7">
    <v>pt-BR</v>
    <v>apmwu2</v>
    <v>268435456</v>
    <v>1</v>
    <v>Da plataforma Refinitiv</v>
    <v>14</v>
    <v>15</v>
    <v>M. Dias Branco S.A. Indústria e Comércio de Alimentos (BVMF:MDIA3)</v>
    <v>12</v>
    <v>16</v>
    <v>Finance</v>
    <v>5</v>
    <v>31.31</v>
    <v>18.63</v>
    <v>BVMF</v>
    <v>339000000</v>
    <v>23.29</v>
    <v>1951</v>
    <v>22.9</v>
    <v>0.87680000000000002</v>
    <v>B3 - Brazil Stock Exchange</v>
    <v>7834290000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23.33</v>
    <v>16277</v>
    <v>45821.958333333336</v>
    <v>258</v>
    <v>411410</v>
    <v>BRL</v>
    <v>M. Dias Branco S.A. Indústria e Comércio de Alimentos</v>
    <v>M. Dias Branco S.A. Indústria e Comércio de Alimentos</v>
    <v>23.2</v>
    <v>23.11</v>
    <v>Rod Br 116 KM 18 S/N, Jabuti, EUSEBIO, CEARA, 61.760-000 BR</v>
    <v>Food &amp; Tobacco</v>
    <v>MDIA3</v>
    <v>Ações</v>
    <v>M. Dias Branco S.A. Indústria e Comércio de Alimentos (BVMF:MDIA3)</v>
    <v>-0.22</v>
    <v>-9.4299999999999991E-3</v>
    <v>232000</v>
  </rv>
  <rv s="2">
    <v>259</v>
  </rv>
  <rv s="0">
    <v>https://www.bing.com/financeapi/forcetrigger?t=aplym7&amp;q=BVMF%3aBBDC4&amp;form=skydnc</v>
    <v>Learn more on Bing</v>
  </rv>
  <rv s="7">
    <v>pt-BR</v>
    <v>aplym7</v>
    <v>268435456</v>
    <v>1</v>
    <v>Da plataforma Refinitiv</v>
    <v>14</v>
    <v>15</v>
    <v>Banco Bradesco S.A. (BVMF:BBDC4)</v>
    <v>12</v>
    <v>16</v>
    <v>Finance</v>
    <v>5</v>
    <v>16.79</v>
    <v>10.77</v>
    <v>BVMF</v>
    <v>10592010000</v>
    <v>16.45</v>
    <v>1943</v>
    <v>16.14</v>
    <v>1.488</v>
    <v>B3 - Brazil Stock Exchange</v>
    <v>162887800000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16.48</v>
    <v>83365</v>
    <v>45821.958333333336</v>
    <v>261</v>
    <v>36688850</v>
    <v>BRL</v>
    <v>Banco Bradesco S.A.</v>
    <v>Banco Bradesco S.A.</v>
    <v>16.260000000000002</v>
    <v>16.29</v>
    <v>Nucleo Cidade de Deus s/n, Vila Yara, OSASCO, SAO PAULO, 06.029-900 BR</v>
    <v>Banking Services</v>
    <v>BBDC4</v>
    <v>Ações</v>
    <v>Banco Bradesco S.A. (BVMF:BBDC4)</v>
    <v>-0.19</v>
    <v>-1.1529000000000001E-2</v>
    <v>29836900</v>
  </rv>
  <rv s="2">
    <v>262</v>
  </rv>
  <rv s="0">
    <v>https://www.bing.com/financeapi/forcetrigger?t=apn75r&amp;q=BVMF%3aPSSA3&amp;form=skydnc</v>
    <v>Learn more on Bing</v>
  </rv>
  <rv s="7">
    <v>pt-BR</v>
    <v>apn75r</v>
    <v>268435456</v>
    <v>1</v>
    <v>Da plataforma Refinitiv</v>
    <v>14</v>
    <v>15</v>
    <v>Porto Seguro S.A. (BVMF:PSSA3)</v>
    <v>12</v>
    <v>16</v>
    <v>Finance</v>
    <v>5</v>
    <v>53.39</v>
    <v>27.34</v>
    <v>BVMF</v>
    <v>646586100</v>
    <v>53.36</v>
    <v>1997</v>
    <v>52.46</v>
    <v>0.82589999999999997</v>
    <v>B3 - Brazil Stock Exchange</v>
    <v>34262597439</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53.39</v>
    <v>13700</v>
    <v>45821.958333333336</v>
    <v>264</v>
    <v>2294990</v>
    <v>BRL</v>
    <v>Porto Seguro S.A.</v>
    <v>Porto Seguro S.A.</v>
    <v>53.17</v>
    <v>52.99</v>
    <v>Alameda Barao de Piracicaba, 618/634 - Torre B, 11 andar, Campos Eliseos, SAO PAULO, SAO PAULO, 01.216-012 BR</v>
    <v>Insurance</v>
    <v>PSSA3</v>
    <v>Ações</v>
    <v>Porto Seguro S.A. (BVMF:PSSA3)</v>
    <v>-0.4</v>
    <v>-7.4919999999999995E-3</v>
    <v>1339100</v>
  </rv>
  <rv s="2">
    <v>265</v>
  </rv>
  <rv s="0">
    <v>https://www.bing.com/financeapi/forcetrigger?t=apn9ww&amp;q=BVMF%3aRNEW4&amp;form=skydnc</v>
    <v>Learn more on Bing</v>
  </rv>
  <rv s="7">
    <v>pt-BR</v>
    <v>apn9ww</v>
    <v>268435456</v>
    <v>1</v>
    <v>Da plataforma Refinitiv</v>
    <v>14</v>
    <v>15</v>
    <v>RENOVA ENERGIA S.A. - EM RECUPERAÇÃO JUDICIAL (BVMF:RNEW4)</v>
    <v>12</v>
    <v>16</v>
    <v>Finance</v>
    <v>5</v>
    <v>2.58</v>
    <v>1.1200000000000001</v>
    <v>BVMF</v>
    <v>124061300</v>
    <v>1.1499999999999999</v>
    <v>2006</v>
    <v>1.1200000000000001</v>
    <v>1.3224</v>
    <v>B3 - Brazil Stock Exchange</v>
    <v>438553300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1.17</v>
    <v>141</v>
    <v>45821.958333333336</v>
    <v>267</v>
    <v>100210</v>
    <v>BRL</v>
    <v>RENOVA ENERGIA S.A. - EM RECUPERAÇÃO JUDICIAL</v>
    <v>RENOVA ENERGIA S.A. - EM RECUPERAÇÃO JUDICIAL</v>
    <v>1.1499999999999999</v>
    <v>1.1200000000000001</v>
    <v>Avenida das Nacoes Unidas, n 10.989, conjunto 82, Vila Olimpia, SAO PAULO, SAO PAULO, 04.578-000 BR</v>
    <v>Electrical Utilities &amp; IPPs</v>
    <v>RNEW4</v>
    <v>Ações</v>
    <v>RENOVA ENERGIA S.A. - EM RECUPERAÇÃO JUDICIAL (BVMF:RNEW4)</v>
    <v>-0.05</v>
    <v>-4.2735000000000002E-2</v>
    <v>89000</v>
  </rv>
  <rv s="2">
    <v>268</v>
  </rv>
  <rv s="0">
    <v>https://www.bing.com/financeapi/forcetrigger?t=apniz2&amp;q=BVMF%3aUNIP6&amp;form=skydnc</v>
    <v>Learn more on Bing</v>
  </rv>
  <rv s="7">
    <v>pt-BR</v>
    <v>apniz2</v>
    <v>268435456</v>
    <v>1</v>
    <v>Da plataforma Refinitiv</v>
    <v>14</v>
    <v>15</v>
    <v>UNIPAR CARBOCLORO S.A. (BVMF:UNIP6)</v>
    <v>12</v>
    <v>16</v>
    <v>Finance</v>
    <v>5</v>
    <v>61.95</v>
    <v>39.700000000000003</v>
    <v>BVMF</v>
    <v>113173300</v>
    <v>59.9</v>
    <v>1969</v>
    <v>58.69</v>
    <v>1.2552000000000001</v>
    <v>B3 - Brazil Stock Exchange</v>
    <v>6511604000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59.91</v>
    <v>1400</v>
    <v>45821.958333333336</v>
    <v>270</v>
    <v>125140</v>
    <v>BRL</v>
    <v>UNIPAR CARBOCLORO S.A.</v>
    <v>UNIPAR CARBOCLORO S.A.</v>
    <v>59.72</v>
    <v>59.11</v>
    <v>Avenida Presidente Juscelino Kubitschek, n 1327, 22 andar, Itaim Bibi, SAO PAULO, SAO PAULO, 04.543-011 BR</v>
    <v>Chemicals</v>
    <v>UNIP6</v>
    <v>Ações</v>
    <v>UNIPAR CARBOCLORO S.A. (BVMF:UNIP6)</v>
    <v>-0.8</v>
    <v>-1.3352999999999999E-2</v>
    <v>120200</v>
  </rv>
  <rv s="2">
    <v>271</v>
  </rv>
  <rv s="0">
    <v>https://www.bing.com/financeapi/forcetrigger?t=apmjgh&amp;q=BVMF%3aEZTC3&amp;form=skydnc</v>
    <v>Learn more on Bing</v>
  </rv>
  <rv s="7">
    <v>pt-BR</v>
    <v>apmjgh</v>
    <v>268435456</v>
    <v>1</v>
    <v>Da plataforma Refinitiv</v>
    <v>14</v>
    <v>15</v>
    <v>EZ TEC Empreendimentos e Participações S.A. (BVMF:EZTC3)</v>
    <v>12</v>
    <v>16</v>
    <v>Finance</v>
    <v>5</v>
    <v>15.68</v>
    <v>10.210000000000001</v>
    <v>BVMF</v>
    <v>220989100</v>
    <v>13.43</v>
    <v>2006</v>
    <v>13.15</v>
    <v>1.6125</v>
    <v>B3 - Brazil Stock Exchange</v>
    <v>2936945139</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13.49</v>
    <v>338</v>
    <v>45821.958333333336</v>
    <v>273</v>
    <v>1111150</v>
    <v>BRL</v>
    <v>EZ TEC Empreendimentos e Participações S.A.</v>
    <v>EZ TEC Empreendimentos e Participações S.A.</v>
    <v>13.4</v>
    <v>13.29</v>
    <v>Av. Republica do Libano,1.921, Ibirapuera, SAO PAULO, SAO PAULO, 04.501-002 BR</v>
    <v>Real Estate Operations</v>
    <v>EZTC3</v>
    <v>Ações</v>
    <v>EZ TEC Empreendimentos e Participações S.A. (BVMF:EZTC3)</v>
    <v>-0.2</v>
    <v>-1.4825999999999999E-2</v>
    <v>1053600</v>
  </rv>
  <rv s="2">
    <v>274</v>
  </rv>
  <rv s="0">
    <v>https://www.bing.com/financeapi/forcetrigger?t=awjq77&amp;q=BVMF%3aSUZB3&amp;form=skydnc</v>
    <v>Learn more on Bing</v>
  </rv>
  <rv s="14">
    <v>pt-BR</v>
    <v>awjq77</v>
    <v>268435456</v>
    <v>1</v>
    <v>Da plataforma Refinitiv</v>
    <v>32</v>
    <v>33</v>
    <v>SUZANO S.A. (BVMF:SUZB3)</v>
    <v>12</v>
    <v>34</v>
    <v>Finance</v>
    <v>35</v>
    <v>64.709999999999994</v>
    <v>46.34</v>
    <v>BVMF</v>
    <v>1264118000</v>
    <v>55.42</v>
    <v>1987</v>
    <v>53.97</v>
    <v>0.39290000000000003</v>
    <v>B3 - Brazil Stock Exchange</v>
    <v>68401424980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52.95</v>
    <v>56000</v>
    <v>45821.958333333336</v>
    <v>276</v>
    <v>8222810</v>
    <v>BRL</v>
    <v>SUZANO S.A.</v>
    <v>SUZANO S.A.</v>
    <v>54.44</v>
    <v>54.11</v>
    <v>54.76</v>
    <v>Av. Professor Magalhaes Neto,1752 - 10 andar, Salas 1009/1010/1011, Pituba, SALVADOR, BAHIA, 41.810-012 BR</v>
    <v>Paper &amp; Forest Products</v>
    <v>SUZB3</v>
    <v>Ações</v>
    <v>SUZANO S.A. (BVMF:SUZB3)</v>
    <v>1.1599999999999999</v>
    <v>2.1906999999999999E-2</v>
    <v>10361000</v>
  </rv>
  <rv s="2">
    <v>277</v>
  </rv>
  <rv s="0">
    <v>https://www.bing.com/financeapi/forcetrigger?t=apm1nm&amp;q=BVMF%3aBMEB4&amp;form=skydnc</v>
    <v>Learn more on Bing</v>
  </rv>
  <rv s="7">
    <v>pt-BR</v>
    <v>apm1nm</v>
    <v>268435456</v>
    <v>1</v>
    <v>Da plataforma Refinitiv</v>
    <v>14</v>
    <v>15</v>
    <v>Banco Mercantil do Brasil S.A. (BVMF:BMEB4)</v>
    <v>12</v>
    <v>16</v>
    <v>Finance</v>
    <v>5</v>
    <v>43.25</v>
    <v>23.9</v>
    <v>BVMF</v>
    <v>104831600</v>
    <v>40.700000000000003</v>
    <v>1940</v>
    <v>39.6</v>
    <v>8.3799999999999999E-2</v>
    <v>B3 - Brazil Stock Exchange</v>
    <v>3802329000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v>
    <v>2958</v>
    <v>45821.958333333336</v>
    <v>279</v>
    <v>11580</v>
    <v>BRL</v>
    <v>Banco Mercantil do Brasil S.A.</v>
    <v>Banco Mercantil do Brasil S.A.</v>
    <v>40.69</v>
    <v>40.6</v>
    <v>Rua Rio De Janeiro, 680, Centro, BELO HORIZONTE, MINAS GERAIS, 30.160-912 BR</v>
    <v>Banking Services</v>
    <v>BMEB4</v>
    <v>Ações</v>
    <v>Banco Mercantil do Brasil S.A. (BVMF:BMEB4)</v>
    <v>0.6</v>
    <v>1.4999999999999999E-2</v>
    <v>6800</v>
  </rv>
  <rv s="2">
    <v>280</v>
  </rv>
  <rv s="0">
    <v>https://www.bing.com/financeapi/forcetrigger?t=apmb52&amp;q=BVMF%3aCPLE3&amp;form=skydnc</v>
    <v>Learn more on Bing</v>
  </rv>
  <rv s="7">
    <v>pt-BR</v>
    <v>apmb52</v>
    <v>268435456</v>
    <v>1</v>
    <v>Da plataforma Refinitiv</v>
    <v>14</v>
    <v>15</v>
    <v>Companhia Paranaense de Energia - Copel (BVMF:CPLE3)</v>
    <v>12</v>
    <v>16</v>
    <v>Finance</v>
    <v>5</v>
    <v>11.74</v>
    <v>7.4</v>
    <v>BVMF</v>
    <v>2982811000</v>
    <v>11.57</v>
    <v>1954</v>
    <v>11.36</v>
    <v>0.85450000000000004</v>
    <v>B3 - Brazil Stock Exchange</v>
    <v>35996820000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11.56</v>
    <v>4396</v>
    <v>45821.958333333336</v>
    <v>282</v>
    <v>12903270</v>
    <v>BRL</v>
    <v>Companhia Paranaense de Energia - Copel</v>
    <v>Companhia Paranaense de Energia - Copel</v>
    <v>11.57</v>
    <v>11.56</v>
    <v>Rua Jose Izidoro Biazetto, 158, Orleans, CURITIBA, PARANA, 81.200-240 BR</v>
    <v>Electrical Utilities &amp; IPPs</v>
    <v>CPLE3</v>
    <v>Ações</v>
    <v>Companhia Paranaense de Energia - Copel (BVMF:CPLE3)</v>
    <v>0</v>
    <v>0</v>
    <v>2133200</v>
  </rv>
  <rv s="2">
    <v>283</v>
  </rv>
  <rv s="0">
    <v>https://www.bing.com/financeapi/forcetrigger?t=apn4dm&amp;q=BVMF%3aPETR3&amp;form=skydnc</v>
    <v>Learn more on Bing</v>
  </rv>
  <rv s="7">
    <v>pt-BR</v>
    <v>apn4dm</v>
    <v>268435456</v>
    <v>1</v>
    <v>Da plataforma Refinitiv</v>
    <v>14</v>
    <v>15</v>
    <v>Petróleo Brasileiro S.A. (Petrobras) (BVMF:PETR3)</v>
    <v>12</v>
    <v>16</v>
    <v>Finance</v>
    <v>5</v>
    <v>40.590000000000003</v>
    <v>30.84</v>
    <v>BVMF</v>
    <v>12888730000</v>
    <v>35.78</v>
    <v>1953</v>
    <v>34.82</v>
    <v>0.99929999999999997</v>
    <v>B3 - Brazil Stock Exchange</v>
    <v>427822800000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34.25</v>
    <v>49185</v>
    <v>45821.958333333336</v>
    <v>285</v>
    <v>42708120</v>
    <v>BRL</v>
    <v>Petróleo Brasileiro S.A. (Petrobras)</v>
    <v>Petróleo Brasileiro S.A. (Petrobras)</v>
    <v>35.61</v>
    <v>34.979999999999997</v>
    <v>Av. Republica do Chile, n 65, 24 andar, Centro, RIO DE JANEIRO, RIO DE JANEIRO, 20.031-912 BR</v>
    <v>Oil &amp; Gas</v>
    <v>PETR3</v>
    <v>Ações</v>
    <v>Petróleo Brasileiro S.A. (Petrobras) (BVMF:PETR3)</v>
    <v>0.73</v>
    <v>2.1314000000000003E-2</v>
    <v>21204100</v>
  </rv>
  <rv s="2">
    <v>286</v>
  </rv>
  <rv s="0">
    <v>https://www.bing.com/financeapi/forcetrigger?t=aplyjc&amp;q=BVMF%3aBBDC3&amp;form=skydnc</v>
    <v>Learn more on Bing</v>
  </rv>
  <rv s="7">
    <v>pt-BR</v>
    <v>aplyjc</v>
    <v>268435456</v>
    <v>1</v>
    <v>Da plataforma Refinitiv</v>
    <v>14</v>
    <v>15</v>
    <v>Banco Bradesco S.A. (BVMF:BBDC3)</v>
    <v>12</v>
    <v>16</v>
    <v>Finance</v>
    <v>5</v>
    <v>14.48</v>
    <v>9.8800000000000008</v>
    <v>BVMF</v>
    <v>10592010000</v>
    <v>14.25</v>
    <v>1943</v>
    <v>13.96</v>
    <v>1.488</v>
    <v>B3 - Brazil Stock Exchange</v>
    <v>162887800000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14.28</v>
    <v>83365</v>
    <v>45821.958333333336</v>
    <v>288</v>
    <v>36688850</v>
    <v>BRL</v>
    <v>Banco Bradesco S.A.</v>
    <v>Banco Bradesco S.A.</v>
    <v>14.03</v>
    <v>14.11</v>
    <v>Nucleo Cidade de Deus s/n, Vila Yara, OSASCO, SAO PAULO, 06.029-900 BR</v>
    <v>Banking Services</v>
    <v>BBDC3</v>
    <v>Ações</v>
    <v>Banco Bradesco S.A. (BVMF:BBDC3)</v>
    <v>-0.17</v>
    <v>-1.1904999999999999E-2</v>
    <v>12497900</v>
  </rv>
  <rv s="2">
    <v>289</v>
  </rv>
  <rv s="0">
    <v>https://www.bing.com/financeapi/forcetrigger?t=apn5cw&amp;q=BVMF%3aPOMO4&amp;form=skydnc</v>
    <v>Learn more on Bing</v>
  </rv>
  <rv s="7">
    <v>pt-BR</v>
    <v>apn5cw</v>
    <v>268435456</v>
    <v>1</v>
    <v>Da plataforma Refinitiv</v>
    <v>14</v>
    <v>15</v>
    <v>MARCOPOLO S.A. (BVMF:POMO4)</v>
    <v>12</v>
    <v>16</v>
    <v>Finance</v>
    <v>5</v>
    <v>9.15</v>
    <v>5.41</v>
    <v>BVMF</v>
    <v>1136271000</v>
    <v>7.85</v>
    <v>1949</v>
    <v>7.46</v>
    <v>0.7883</v>
    <v>B3 - Brazil Stock Exchange</v>
    <v>8064896000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7.61</v>
    <v>16027</v>
    <v>45821.958333333336</v>
    <v>291</v>
    <v>9892170</v>
    <v>BRL</v>
    <v>MARCOPOLO S.A.</v>
    <v>MARCOPOLO S.A.</v>
    <v>7.46</v>
    <v>7.58</v>
    <v>Avenida Marcopolo,280, Planalto, CAXIAS DO SUL, RIO GRANDE DO SUL, 95.086-200 BR</v>
    <v>Automobiles &amp; Auto Parts</v>
    <v>POMO4</v>
    <v>Ações</v>
    <v>MARCOPOLO S.A. (BVMF:POMO4)</v>
    <v>-0.03</v>
    <v>-3.9420000000000002E-3</v>
    <v>16933800</v>
  </rv>
  <rv s="2">
    <v>292</v>
  </rv>
  <rv s="0">
    <v>https://www.bing.com/financeapi/forcetrigger?t=apnjsm&amp;q=BVMF%3aVALE3&amp;form=skydnc</v>
    <v>Learn more on Bing</v>
  </rv>
  <rv s="7">
    <v>pt-BR</v>
    <v>apnjsm</v>
    <v>268435456</v>
    <v>1</v>
    <v>Da plataforma Refinitiv</v>
    <v>14</v>
    <v>15</v>
    <v>VALE S.A. (BVMF:VALE3)</v>
    <v>12</v>
    <v>16</v>
    <v>Finance</v>
    <v>5</v>
    <v>62.34</v>
    <v>48.77</v>
    <v>BVMF</v>
    <v>4539008000</v>
    <v>52.51</v>
    <v>1943</v>
    <v>51.96</v>
    <v>0.79630000000000001</v>
    <v>B3 - Brazil Stock Exchange</v>
    <v>236618487040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52.83</v>
    <v>64616</v>
    <v>45821.958333333336</v>
    <v>294</v>
    <v>15764400</v>
    <v>BRL</v>
    <v>VALE S.A.</v>
    <v>VALE S.A.</v>
    <v>52.07</v>
    <v>52.13</v>
    <v>Torre Oscar Niemeyer, Praia de Botafogo n 186 salas 1901 e outras, Botafogo, RIO DE JANEIRO, RIO DE JANEIRO, 34.855-000 BR</v>
    <v>Metals &amp; Mining</v>
    <v>VALE3</v>
    <v>Ações</v>
    <v>VALE S.A. (BVMF:VALE3)</v>
    <v>-0.7</v>
    <v>-1.325E-2</v>
    <v>13218200</v>
  </rv>
  <rv s="2">
    <v>295</v>
  </rv>
  <rv s="0">
    <v>https://www.bing.com/financeapi/forcetrigger?t=apn7yc&amp;q=BVMF%3aRADL3&amp;form=skydnc</v>
    <v>Learn more on Bing</v>
  </rv>
  <rv s="7">
    <v>pt-BR</v>
    <v>apn7yc</v>
    <v>268435456</v>
    <v>1</v>
    <v>Da plataforma Refinitiv</v>
    <v>14</v>
    <v>15</v>
    <v>Raia Drogasil S/A (BVMF:RADL3)</v>
    <v>12</v>
    <v>16</v>
    <v>Finance</v>
    <v>5</v>
    <v>29.96</v>
    <v>13.88</v>
    <v>BVMF</v>
    <v>1718007000</v>
    <v>14.53</v>
    <v>1935</v>
    <v>13.88</v>
    <v>0.80649999999999999</v>
    <v>B3 - Brazil Stock Exchange</v>
    <v>23845937160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14.62</v>
    <v>66275</v>
    <v>45821.958333333336</v>
    <v>297</v>
    <v>15654510</v>
    <v>BRL</v>
    <v>Raia Drogasil S/A</v>
    <v>Raia Drogasil S/A</v>
    <v>14.5</v>
    <v>13.88</v>
    <v>Av. Corifeu de Azevedo Marques, 3.097, Butanta, SAO PAULO, SAO PAULO, 05.339-900 BR</v>
    <v>Food &amp; Drug Retailing</v>
    <v>RADL3</v>
    <v>Ações</v>
    <v>Raia Drogasil S/A (BVMF:RADL3)</v>
    <v>-0.74</v>
    <v>-5.0616000000000001E-2</v>
    <v>8135400</v>
  </rv>
  <rv s="2">
    <v>298</v>
  </rv>
  <rv s="0">
    <v>https://www.bing.com/financeapi/forcetrigger?t=c1s4lh&amp;q=BVMF%3aGGPS3&amp;form=skydnc</v>
    <v>Learn more on Bing</v>
  </rv>
  <rv s="7">
    <v>pt-BR</v>
    <v>c1s4lh</v>
    <v>268435456</v>
    <v>1</v>
    <v>Da plataforma Refinitiv</v>
    <v>14</v>
    <v>15</v>
    <v>GPS PARTICIPAÇÕES E EMPREENDIMENTOS S.A. (BVMF:GGPS3)</v>
    <v>12</v>
    <v>16</v>
    <v>Finance</v>
    <v>5</v>
    <v>19.11</v>
    <v>12.12</v>
    <v>BVMF</v>
    <v>677280700</v>
    <v>15.2</v>
    <v>2007</v>
    <v>14.75</v>
    <v>1.2817000000000001</v>
    <v>B3 - Brazil Stock Exchange</v>
    <v>10098250000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14.91</v>
    <v>183000</v>
    <v>45821.958333333336</v>
    <v>300</v>
    <v>2425740</v>
    <v>BRL</v>
    <v>GPS PARTICIPAÇÕES E EMPREENDIMENTOS S.A.</v>
    <v>GPS PARTICIPAÇÕES E EMPREENDIMENTOS S.A.</v>
    <v>14.83</v>
    <v>14.85</v>
    <v>Av. Miguel Frias e Vasconcelos, n 1215 2 andar, Jaguare, SAO PAULO, SAO PAULO, 05.345-000 BR</v>
    <v>Professional &amp; Commercial Services</v>
    <v>GGPS3</v>
    <v>Ações</v>
    <v>GPS PARTICIPAÇÕES E EMPREENDIMENTOS S.A. (BVMF:GGPS3)</v>
    <v>-0.06</v>
    <v>-4.0239999999999998E-3</v>
    <v>3547200</v>
  </rv>
  <rv s="2">
    <v>301</v>
  </rv>
  <rv s="0">
    <v>https://www.bing.com/financeapi/forcetrigger?t=bvoyz2&amp;q=BVMF%3aHBSA3&amp;form=skydnc</v>
    <v>Learn more on Bing</v>
  </rv>
  <rv s="8">
    <v>pt-BR</v>
    <v>bvoyz2</v>
    <v>268435456</v>
    <v>1</v>
    <v>Da plataforma Refinitiv</v>
    <v>17</v>
    <v>18</v>
    <v>Hidrovias do Brasil S.A (BVMF:HBSA3)</v>
    <v>12</v>
    <v>19</v>
    <v>Finance</v>
    <v>5</v>
    <v>3.8</v>
    <v>1.47</v>
    <v>BVMF</v>
    <v>1360383000</v>
    <v>3.71</v>
    <v>2010</v>
    <v>3.57</v>
    <v>1.2327999999999999</v>
    <v>B3 - Brazil Stock Exchange</v>
    <v>5033417100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3.59</v>
    <v>45821.958333333336</v>
    <v>303</v>
    <v>2776910</v>
    <v>BRL</v>
    <v>Hidrovias do Brasil S.A</v>
    <v>Hidrovias do Brasil S.A</v>
    <v>3.62</v>
    <v>3.7</v>
    <v>Rua Gilberto Sabino, 215 - 7 andar, SAO PAULO, SAO PAULO, 05.425-020 BR</v>
    <v>Freight &amp; Logistics Services</v>
    <v>HBSA3</v>
    <v>Ações</v>
    <v>Hidrovias do Brasil S.A (BVMF:HBSA3)</v>
    <v>0.11</v>
    <v>3.0640999999999998E-2</v>
    <v>2584200</v>
  </rv>
  <rv s="2">
    <v>304</v>
  </rv>
  <rv s="0">
    <v>https://www.bing.com/financeapi/forcetrigger?t=apm7gh&amp;q=BVMF%3aCCRO3&amp;form=skydnc</v>
    <v>Learn more on Bing</v>
  </rv>
  <rv s="7">
    <v>pt-BR</v>
    <v>apm7gh</v>
    <v>268435456</v>
    <v>1</v>
    <v>Da plataforma Refinitiv</v>
    <v>14</v>
    <v>15</v>
    <v>MOTIVA INFRAESTRUTURA DE MOBILIDADE S.A. (BVMF:MOTV3)</v>
    <v>12</v>
    <v>16</v>
    <v>Finance</v>
    <v>5</v>
    <v>14.1</v>
    <v>9.86</v>
    <v>BVMF</v>
    <v>2020000000</v>
    <v>13.37</v>
    <v>1998</v>
    <v>13.15</v>
    <v>1.0197000000000001</v>
    <v>B3 - Brazil Stock Exchange</v>
    <v>27007400000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13.4</v>
    <v>17124</v>
    <v>45821.958333333336</v>
    <v>306</v>
    <v>6130260</v>
    <v>BRL</v>
    <v>MOTIVA INFRAESTRUTURA DE MOBILIDADE S.A.</v>
    <v>MOTIVA INFRAESTRUTURA DE MOBILIDADE S.A.</v>
    <v>13.25</v>
    <v>13.37</v>
    <v>Av. Dra. Ruth Cardoso, 8.501, 5 andar, Pinheiros, SAO PAULO, SAO PAULO, 05.425-070 BR</v>
    <v>Transport Infrastructure</v>
    <v>MOTV3</v>
    <v>Ações</v>
    <v>MOTIVA INFRAESTRUTURA DE MOBILIDADE S.A. (BVMF:MOTV3)</v>
    <v>-0.03</v>
    <v>-2.2389999999999997E-3</v>
    <v>4207300</v>
  </rv>
  <rv s="2">
    <v>307</v>
  </rv>
  <rv s="0">
    <v>https://www.bing.com/financeapi/forcetrigger?t=bvu6jc&amp;q=BVMF%3aMELK3&amp;form=skydnc</v>
    <v>Learn more on Bing</v>
  </rv>
  <rv s="7">
    <v>pt-BR</v>
    <v>bvu6jc</v>
    <v>268435456</v>
    <v>1</v>
    <v>Da plataforma Refinitiv</v>
    <v>14</v>
    <v>15</v>
    <v>Melnick Desenvolvimento Imobiliário S.A. (BVMF:MELK3)</v>
    <v>12</v>
    <v>16</v>
    <v>Finance</v>
    <v>5</v>
    <v>3.54</v>
    <v>2.38</v>
    <v>BVMF</v>
    <v>206269300</v>
    <v>3.34</v>
    <v>2010</v>
    <v>3.25</v>
    <v>0.95530000000000004</v>
    <v>B3 - Brazil Stock Exchange</v>
    <v>686876769</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v>
    <v>458</v>
    <v>45821.958333333336</v>
    <v>309</v>
    <v>252600</v>
    <v>BRL</v>
    <v>Melnick Desenvolvimento Imobiliário S.A.</v>
    <v>Melnick Desenvolvimento Imobiliário S.A.</v>
    <v>3.34</v>
    <v>3.33</v>
    <v>Rua Carlos Trein Filho, n 551, N/A, Auxiliadora, Porto Alegre, RIO GRANDE DO SUL, 90.450-120 BR</v>
    <v>Homebuilding &amp; Construction Supplies</v>
    <v>MELK3</v>
    <v>Ações</v>
    <v>Melnick Desenvolvimento Imobiliário S.A. (BVMF:MELK3)</v>
    <v>0.03</v>
    <v>9.0910000000000001E-3</v>
    <v>186300</v>
  </rv>
  <rv s="2">
    <v>310</v>
  </rv>
  <rv s="0">
    <v>https://www.bing.com/financeapi/forcetrigger?t=apmb27&amp;q=BVMF%3aCPFE3&amp;form=skydnc</v>
    <v>Learn more on Bing</v>
  </rv>
  <rv s="7">
    <v>pt-BR</v>
    <v>apmb27</v>
    <v>268435456</v>
    <v>1</v>
    <v>Da plataforma Refinitiv</v>
    <v>14</v>
    <v>15</v>
    <v>CPFL ENERGIA S.A. (BVMF:CPFE3)</v>
    <v>12</v>
    <v>16</v>
    <v>Finance</v>
    <v>5</v>
    <v>41.48</v>
    <v>28.72</v>
    <v>BVMF</v>
    <v>1152254000</v>
    <v>40.72</v>
    <v>1998</v>
    <v>40.17</v>
    <v>0.66720000000000002</v>
    <v>B3 - Brazil Stock Exchange</v>
    <v>46528040000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40.380000000000003</v>
    <v>6432</v>
    <v>45821.958333333336</v>
    <v>312</v>
    <v>1322490</v>
    <v>BRL</v>
    <v>CPFL ENERGIA S.A.</v>
    <v>CPFL ENERGIA S.A.</v>
    <v>40.200000000000003</v>
    <v>40.5</v>
    <v>Rua Jorge de Figueiredo Correa,1632, parte, Jd Prof. Tarcilia, CAMPINAS, SAO PAULO, 13.087-397 BR</v>
    <v>Electrical Utilities &amp; IPPs</v>
    <v>CPFE3</v>
    <v>Ações</v>
    <v>CPFL ENERGIA S.A. (BVMF:CPFE3)</v>
    <v>0.12</v>
    <v>2.9720000000000002E-3</v>
    <v>867800</v>
  </rv>
  <rv s="2">
    <v>313</v>
  </rv>
  <rv s="0">
    <v>https://www.bing.com/financeapi/forcetrigger?t=apnbbh&amp;q=BVMF%3aSBSP3&amp;form=skydnc</v>
    <v>Learn more on Bing</v>
  </rv>
  <rv s="7">
    <v>pt-BR</v>
    <v>apnbbh</v>
    <v>268435456</v>
    <v>1</v>
    <v>Da plataforma Refinitiv</v>
    <v>14</v>
    <v>15</v>
    <v>Companhia de Saneamento Básico do Estado de São Paulo - SABESP (BVMF:SBSP3)</v>
    <v>12</v>
    <v>16</v>
    <v>Finance</v>
    <v>5</v>
    <v>120.84</v>
    <v>67.8</v>
    <v>BVMF</v>
    <v>683509900</v>
    <v>115.99</v>
    <v>1973</v>
    <v>114.18</v>
    <v>0.8548</v>
    <v>B3 - Brazil Stock Exchange</v>
    <v>78678824589</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115.84</v>
    <v>9700</v>
    <v>45821.958333333336</v>
    <v>315</v>
    <v>2684420</v>
    <v>BRL</v>
    <v>Companhia de Saneamento Básico do Estado de São Paulo - SABESP</v>
    <v>Companhia de Saneamento Básico do Estado de São Paulo - SABESP</v>
    <v>114.2</v>
    <v>115.11</v>
    <v>Rua Costa Carvalho, n 300 Diretoria F, Pinheiros, SAO PAULO, SAO PAULO, 05.429-900 BR</v>
    <v>Water Utilities</v>
    <v>SBSP3</v>
    <v>Ações</v>
    <v>Companhia de Saneamento Básico do Estado de São Paulo - SABESP (BVMF:SBSP3)</v>
    <v>-0.73</v>
    <v>-6.3019999999999994E-3</v>
    <v>2382800</v>
  </rv>
  <rv s="2">
    <v>316</v>
  </rv>
  <rv s="0">
    <v>https://www.bing.com/financeapi/forcetrigger?t=c1s4zr&amp;q=BVMF%3aSOJA3&amp;form=skydnc</v>
    <v>Learn more on Bing</v>
  </rv>
  <rv s="8">
    <v>pt-BR</v>
    <v>c1s4zr</v>
    <v>268435456</v>
    <v>1</v>
    <v>Da plataforma Refinitiv</v>
    <v>17</v>
    <v>18</v>
    <v>Boa Safra Sementes S.A. (BVMF:SOJA3)</v>
    <v>12</v>
    <v>19</v>
    <v>Finance</v>
    <v>5</v>
    <v>15.42</v>
    <v>9.5500000000000007</v>
    <v>BVMF</v>
    <v>135322100</v>
    <v>11.54</v>
    <v>2009</v>
    <v>11.34</v>
    <v>0.62619999999999998</v>
    <v>B3 - Brazil Stock Exchange</v>
    <v>1545378382</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11.52</v>
    <v>45821.958333333336</v>
    <v>318</v>
    <v>431890</v>
    <v>BRL</v>
    <v>Boa Safra Sementes S.A.</v>
    <v>Boa Safra Sementes S.A.</v>
    <v>11.45</v>
    <v>11.42</v>
    <v>Avenida Circular 209, Setor Industrial, Formosa, GOIAS, 73.813-014 BR</v>
    <v>Food &amp; Tobacco</v>
    <v>SOJA3</v>
    <v>Ações</v>
    <v>Boa Safra Sementes S.A. (BVMF:SOJA3)</v>
    <v>-0.1</v>
    <v>-8.6809999999999995E-3</v>
    <v>284500</v>
  </rv>
  <rv s="2">
    <v>319</v>
  </rv>
  <rv s="0">
    <v>https://www.bing.com/financeapi/forcetrigger?t=apn7h7&amp;q=BVMF%3aPTNT4&amp;form=skydnc</v>
    <v>Learn more on Bing</v>
  </rv>
  <rv s="7">
    <v>pt-BR</v>
    <v>apn7h7</v>
    <v>268435456</v>
    <v>1</v>
    <v>Da plataforma Refinitiv</v>
    <v>14</v>
    <v>15</v>
    <v>Pettenati S.A. Indústria Têxtil (BVMF:PTNT4)</v>
    <v>12</v>
    <v>16</v>
    <v>Finance</v>
    <v>5</v>
    <v>8.27</v>
    <v>4.45</v>
    <v>BVMF</v>
    <v>48046490</v>
    <v>4.97</v>
    <v>1964</v>
    <v>4.76</v>
    <v>0.40050000000000002</v>
    <v>B3 - Brazil Stock Exchange</v>
    <v>303019300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4.88</v>
    <v>1745</v>
    <v>45821.958333333336</v>
    <v>321</v>
    <v>23470</v>
    <v>BRL</v>
    <v>Pettenati S.A. Indústria Têxtil</v>
    <v>Pettenati S.A. Indústria Têxtil</v>
    <v>4.9000000000000004</v>
    <v>4.88</v>
    <v>Rod Rsc 453, S/N,Km 2,4, Distrito Industrial, CAXIAS DO SUL, RIO GRANDE DO SUL, 95.010-550 BR</v>
    <v>Textiles &amp; Apparel</v>
    <v>PTNT4</v>
    <v>Ações</v>
    <v>Pettenati S.A. Indústria Têxtil (BVMF:PTNT4)</v>
    <v>0</v>
    <v>0</v>
    <v>20900</v>
  </rv>
  <rv s="2">
    <v>322</v>
  </rv>
  <rv s="0">
    <v>https://www.bing.com/financeapi/forcetrigger?t=c2ttqh&amp;q=BVMF%3aDESK3&amp;form=skydnc</v>
    <v>Learn more on Bing</v>
  </rv>
  <rv s="8">
    <v>pt-BR</v>
    <v>c2ttqh</v>
    <v>268435456</v>
    <v>1</v>
    <v>Da plataforma Refinitiv</v>
    <v>17</v>
    <v>18</v>
    <v>DESKTOP S.A. (BVMF:DESK3)</v>
    <v>12</v>
    <v>19</v>
    <v>Finance</v>
    <v>5</v>
    <v>17.440000000000001</v>
    <v>7.8</v>
    <v>BVMF</v>
    <v>115866300</v>
    <v>9.61</v>
    <v>2006</v>
    <v>9.4</v>
    <v>1.2236</v>
    <v>B3 - Brazil Stock Exchange</v>
    <v>1110000000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9.58</v>
    <v>45821.958333333336</v>
    <v>324</v>
    <v>208600</v>
    <v>BRL</v>
    <v>DESKTOP S.A.</v>
    <v>DESKTOP S.A.</v>
    <v>9.5500000000000007</v>
    <v>9.5</v>
    <v>Estrada Municipal Teodor Condiev, 970 13o andar, Jardim Marchissolo, Sumare, SAO PAULO, 13.171-105 BR</v>
    <v>Telecommunications Services</v>
    <v>DESK3</v>
    <v>Ações</v>
    <v>DESKTOP S.A. (BVMF:DESK3)</v>
    <v>-0.08</v>
    <v>-8.350999999999999E-3</v>
    <v>56900</v>
  </rv>
  <rv s="2">
    <v>325</v>
  </rv>
  <rv s="0">
    <v>https://www.bing.com/financeapi/forcetrigger?t=ayuegh&amp;q=BVMF%3aIGTI3&amp;form=skydnc</v>
    <v>Learn more on Bing</v>
  </rv>
  <rv s="7">
    <v>pt-BR</v>
    <v>ayuegh</v>
    <v>268435456</v>
    <v>1</v>
    <v>Da plataforma Refinitiv</v>
    <v>14</v>
    <v>15</v>
    <v>Iguatemi S.A. (BVMF:IGTI3)</v>
    <v>12</v>
    <v>16</v>
    <v>Finance</v>
    <v>5</v>
    <v>2.86</v>
    <v>1.93</v>
    <v>BVMF</v>
    <v>1206361000</v>
    <v>2.65</v>
    <v>1946</v>
    <v>2.57</v>
    <v>1.02</v>
    <v>B3 - Brazil Stock Exchange</v>
    <v>6171423000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2.64</v>
    <v>636</v>
    <v>45821.958333333336</v>
    <v>327</v>
    <v>61720</v>
    <v>BRL</v>
    <v>Iguatemi S.A.</v>
    <v>Iguatemi S.A.</v>
    <v>2.57</v>
    <v>2.65</v>
    <v>Rua Angelina Maffei Vita 200 9 andar, Jardim Paulistano, SAO PAULO, SAO PAULO, 01.455-070 BR</v>
    <v>Real Estate Operations</v>
    <v>IGTI3</v>
    <v>Ações</v>
    <v>Iguatemi S.A. (BVMF:IGTI3)</v>
    <v>0.01</v>
    <v>3.7880000000000001E-3</v>
    <v>11200</v>
  </rv>
  <rv s="2">
    <v>328</v>
  </rv>
  <rv s="0">
    <v>https://www.bing.com/financeapi/forcetrigger?t=apmtnm&amp;q=BVMF%3aKEPL3&amp;form=skydnc</v>
    <v>Learn more on Bing</v>
  </rv>
  <rv s="7">
    <v>pt-BR</v>
    <v>apmtnm</v>
    <v>268435456</v>
    <v>1</v>
    <v>Da plataforma Refinitiv</v>
    <v>14</v>
    <v>15</v>
    <v>Kepler Weber S.A. (BVMF:KEPL3)</v>
    <v>12</v>
    <v>16</v>
    <v>Finance</v>
    <v>5</v>
    <v>10.92</v>
    <v>6.87</v>
    <v>BVMF</v>
    <v>179720100</v>
    <v>8.57</v>
    <v>1936</v>
    <v>8.36</v>
    <v>0.94059999999999999</v>
    <v>B3 - Brazil Stock Exchange</v>
    <v>1507851639</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8.5500000000000007</v>
    <v>1925</v>
    <v>45821.958333333336</v>
    <v>330</v>
    <v>1225110</v>
    <v>BRL</v>
    <v>Kepler Weber S.A.</v>
    <v>Kepler Weber S.A.</v>
    <v>8.52</v>
    <v>8.39</v>
    <v>Rua do Rocio n 84, 3 andar, Vila Olimpia, SAO PAULO, SAO PAULO, 04.552-000 BR</v>
    <v>Machinery, Equipment &amp; Components</v>
    <v>KEPL3</v>
    <v>Ações</v>
    <v>Kepler Weber S.A. (BVMF:KEPL3)</v>
    <v>-0.16</v>
    <v>-1.8713E-2</v>
    <v>1573700</v>
  </rv>
  <rv s="2">
    <v>331</v>
  </rv>
  <rv s="0">
    <v>https://www.bing.com/financeapi/forcetrigger?t=apmvxm&amp;q=BVMF%3aLREN3&amp;form=skydnc</v>
    <v>Learn more on Bing</v>
  </rv>
  <rv s="7">
    <v>pt-BR</v>
    <v>apmvxm</v>
    <v>268435456</v>
    <v>1</v>
    <v>Da plataforma Refinitiv</v>
    <v>14</v>
    <v>15</v>
    <v>Lojas Renner S.A. (BVMF:LREN3)</v>
    <v>12</v>
    <v>16</v>
    <v>Finance</v>
    <v>5</v>
    <v>18.97</v>
    <v>10.49</v>
    <v>BVMF</v>
    <v>1059550000</v>
    <v>18.420000000000002</v>
    <v>1965</v>
    <v>17.809999999999999</v>
    <v>1.6687000000000001</v>
    <v>B3 - Brazil Stock Exchange</v>
    <v>19453338000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18.440000000000001</v>
    <v>25102</v>
    <v>45821.958333333336</v>
    <v>333</v>
    <v>12293740</v>
    <v>BRL</v>
    <v>Lojas Renner S.A.</v>
    <v>Lojas Renner S.A.</v>
    <v>18</v>
    <v>18.36</v>
    <v>Av. Joaquim Porto Villanova, 401,7 andar, Jardim do Salso, PORTO ALEGRE, RIO GRANDE DO SUL, 91.410-400 BR</v>
    <v>Specialty Retailers</v>
    <v>LREN3</v>
    <v>Ações</v>
    <v>Lojas Renner S.A. (BVMF:LREN3)</v>
    <v>-0.08</v>
    <v>-4.3379999999999998E-3</v>
    <v>13656600</v>
  </rv>
  <rv s="2">
    <v>334</v>
  </rv>
  <rv s="0">
    <v>https://www.bing.com/financeapi/forcetrigger?t=apmyyc&amp;q=BVMF%3aMRFG3&amp;form=skydnc</v>
    <v>Learn more on Bing</v>
  </rv>
  <rv s="7">
    <v>pt-BR</v>
    <v>apmyyc</v>
    <v>268435456</v>
    <v>1</v>
    <v>Da plataforma Refinitiv</v>
    <v>14</v>
    <v>15</v>
    <v>Marfrig Global Foods S.A. (BVMF:MRFG3)</v>
    <v>12</v>
    <v>16</v>
    <v>Finance</v>
    <v>5</v>
    <v>26.03</v>
    <v>8.7100000000000009</v>
    <v>BVMF</v>
    <v>857928100</v>
    <v>25.24</v>
    <v>2000</v>
    <v>24.7</v>
    <v>0.93869999999999998</v>
    <v>B3 - Brazil Stock Exchange</v>
    <v>21602629558</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25.28</v>
    <v>126832</v>
    <v>45821.958333333336</v>
    <v>336</v>
    <v>5643810</v>
    <v>BRL</v>
    <v>Marfrig Global Foods S.A.</v>
    <v>Marfrig Global Foods S.A.</v>
    <v>24.96</v>
    <v>25.18</v>
    <v>Avenida Chedid Jafet, No 222, Block A, 1St Floor, SAO PAULO, SAO PAULO, 04.551-065 BR</v>
    <v>Food &amp; Tobacco</v>
    <v>MRFG3</v>
    <v>Ações</v>
    <v>Marfrig Global Foods S.A. (BVMF:MRFG3)</v>
    <v>-0.1</v>
    <v>-3.9560000000000003E-3</v>
    <v>4268400</v>
  </rv>
  <rv s="2">
    <v>337</v>
  </rv>
  <rv s="0">
    <v>https://www.bing.com/financeapi/forcetrigger?t=apmsu2&amp;q=BVMF%3aJFEN3&amp;form=skydnc</v>
    <v>Learn more on Bing</v>
  </rv>
  <rv s="7">
    <v>pt-BR</v>
    <v>apmsu2</v>
    <v>268435456</v>
    <v>1</v>
    <v>Da plataforma Refinitiv</v>
    <v>14</v>
    <v>15</v>
    <v>JOAO FORTES ENGENHARIA S.A. (BVMF:JFEN3)</v>
    <v>12</v>
    <v>16</v>
    <v>Finance</v>
    <v>5</v>
    <v>24.4</v>
    <v>1.9</v>
    <v>BVMF</v>
    <v>12318720</v>
    <v>1.99</v>
    <v>1940</v>
    <v>1.92</v>
    <v>1.4166000000000001</v>
    <v>B3 - Brazil Stock Exchange</v>
    <v>23898316</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1.92</v>
    <v>579</v>
    <v>45821.747997685183</v>
    <v>339</v>
    <v>7740</v>
    <v>BRL</v>
    <v>JOAO FORTES ENGENHARIA S.A.</v>
    <v>JOAO FORTES ENGENHARIA S.A.</v>
    <v>1.92</v>
    <v>1.94</v>
    <v>Av. das Americas, 3443, Sala 108, Bloco 3, Ala B, Barra da Tijuca, RIO DE JANEIRO, RIO DE JANEIRO, 22.631-003 BR</v>
    <v>Real Estate Operations</v>
    <v>JFEN3</v>
    <v>Ações</v>
    <v>JOAO FORTES ENGENHARIA S.A. (BVMF:JFEN3)</v>
    <v>0.02</v>
    <v>1.0417000000000001E-2</v>
    <v>2300</v>
  </rv>
  <rv s="2">
    <v>340</v>
  </rv>
  <rv s="0">
    <v>https://www.bing.com/financeapi/forcetrigger?t=apnjec&amp;q=BVMF%3aUSIM3&amp;form=skydnc</v>
    <v>Learn more on Bing</v>
  </rv>
  <rv s="7">
    <v>pt-BR</v>
    <v>apnjec</v>
    <v>268435456</v>
    <v>1</v>
    <v>Da plataforma Refinitiv</v>
    <v>14</v>
    <v>15</v>
    <v>Usinas Siderúrgicas de Minas Gerais S/A - USIMINAS (BVMF:USIM3)</v>
    <v>12</v>
    <v>16</v>
    <v>Finance</v>
    <v>5</v>
    <v>8.11</v>
    <v>4.74</v>
    <v>BVMF</v>
    <v>1253079000</v>
    <v>5.03</v>
    <v>1954</v>
    <v>4.76</v>
    <v>0.91700000000000004</v>
    <v>B3 - Brazil Stock Exchange</v>
    <v>6289832000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4.9800000000000004</v>
    <v>51182</v>
    <v>45821.958333333336</v>
    <v>342</v>
    <v>9833590</v>
    <v>BRL</v>
    <v>Usinas Siderúrgicas de Minas Gerais S/A - USIMINAS</v>
    <v>Usinas Siderúrgicas de Minas Gerais S/A - USIMINAS</v>
    <v>5.03</v>
    <v>4.76</v>
    <v>Avenida do Contorno, 6.594, Savassi, BELO HORIZONTE, MINAS GERAIS, 30.110-044 BR</v>
    <v>Metals &amp; Mining</v>
    <v>USIM3</v>
    <v>Ações</v>
    <v>Usinas Siderúrgicas de Minas Gerais S/A - USIMINAS (BVMF:USIM3)</v>
    <v>-0.22</v>
    <v>-4.4177000000000001E-2</v>
    <v>659100</v>
  </rv>
  <rv s="2">
    <v>343</v>
  </rv>
  <rv s="0">
    <v>https://www.bing.com/financeapi/forcetrigger?t=bvm1h7&amp;q=BVMF%3aCURY3&amp;form=skydnc</v>
    <v>Learn more on Bing</v>
  </rv>
  <rv s="8">
    <v>pt-BR</v>
    <v>bvm1h7</v>
    <v>268435456</v>
    <v>1</v>
    <v>Da plataforma Refinitiv</v>
    <v>17</v>
    <v>18</v>
    <v>CURY CONSTRUTORA E INCORPORADORA S.A. (BVMF:CURY3)</v>
    <v>12</v>
    <v>19</v>
    <v>Finance</v>
    <v>5</v>
    <v>31.31</v>
    <v>16.3</v>
    <v>BVMF</v>
    <v>291875100</v>
    <v>29.79</v>
    <v>2007</v>
    <v>29.05</v>
    <v>1.0419</v>
    <v>B3 - Brazil Stock Exchange</v>
    <v>8490646659</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29.8</v>
    <v>45821.958333333336</v>
    <v>345</v>
    <v>2696460</v>
    <v>BRL</v>
    <v>CURY CONSTRUTORA E INCORPORADORA S.A.</v>
    <v>CURY CONSTRUTORA E INCORPORADORA S.A.</v>
    <v>29.79</v>
    <v>29.09</v>
    <v>Rua Funchal, n 411, 13 andar Conjunto 132-D, Vila Olimpia, Sao Paulo, SAO PAULO, 04.551-060 BR</v>
    <v>Homebuilding &amp; Construction Supplies</v>
    <v>CURY3</v>
    <v>Ações</v>
    <v>CURY CONSTRUTORA E INCORPORADORA S.A. (BVMF:CURY3)</v>
    <v>-0.71</v>
    <v>-2.3826E-2</v>
    <v>2231800</v>
  </rv>
  <rv s="2">
    <v>346</v>
  </rv>
  <rv s="0">
    <v>https://www.bing.com/financeapi/forcetrigger?t=apniqh&amp;q=BVMF%3aUGPA3&amp;form=skydnc</v>
    <v>Learn more on Bing</v>
  </rv>
  <rv s="7">
    <v>pt-BR</v>
    <v>apniqh</v>
    <v>268435456</v>
    <v>1</v>
    <v>Da plataforma Refinitiv</v>
    <v>14</v>
    <v>15</v>
    <v>ULTRAPAR PARTICIPAÇÕES S.A. (BVMF:UGPA3)</v>
    <v>12</v>
    <v>16</v>
    <v>Finance</v>
    <v>5</v>
    <v>23.74</v>
    <v>14.76</v>
    <v>BVMF</v>
    <v>1115404000</v>
    <v>17.29</v>
    <v>1953</v>
    <v>16.91</v>
    <v>1.1202000000000001</v>
    <v>B3 - Brazil Stock Exchange</v>
    <v>19084570000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17.11</v>
    <v>9558</v>
    <v>45821.958333333336</v>
    <v>348</v>
    <v>6454470</v>
    <v>BRL</v>
    <v>ULTRAPAR PARTICIPAÇÕES S.A.</v>
    <v>ULTRAPAR PARTICIPAÇÕES S.A.</v>
    <v>16.95</v>
    <v>16.989999999999998</v>
    <v>Avenida Brigadeiro Luis Antonio, 1.343, 8 andar, Bela Vista, SAO PAULO, SAO PAULO, 01.317-910 BR</v>
    <v>Oil &amp; Gas</v>
    <v>UGPA3</v>
    <v>Ações</v>
    <v>ULTRAPAR PARTICIPAÇÕES S.A. (BVMF:UGPA3)</v>
    <v>-0.12</v>
    <v>-7.0130000000000001E-3</v>
    <v>4515700</v>
  </rv>
  <rv s="2">
    <v>349</v>
  </rv>
  <rv s="0">
    <v>https://www.bing.com/financeapi/forcetrigger?t=apmfur&amp;q=BVMF%3aDXCO3&amp;form=skydnc</v>
    <v>Learn more on Bing</v>
  </rv>
  <rv s="7">
    <v>pt-BR</v>
    <v>apmfur</v>
    <v>268435456</v>
    <v>1</v>
    <v>Da plataforma Refinitiv</v>
    <v>14</v>
    <v>15</v>
    <v>DEXCO S.A. (BVMF:DXCO3)</v>
    <v>12</v>
    <v>16</v>
    <v>Finance</v>
    <v>5</v>
    <v>8.8800000000000008</v>
    <v>5</v>
    <v>BVMF</v>
    <v>820566200</v>
    <v>5.61</v>
    <v>1962</v>
    <v>5.47</v>
    <v>0.83240000000000003</v>
    <v>B3 - Brazil Stock Exchange</v>
    <v>4554142410</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5.54</v>
    <v>13344</v>
    <v>45821.958333333336</v>
    <v>351</v>
    <v>2812720</v>
    <v>BRL</v>
    <v>DEXCO S.A.</v>
    <v>DEXCO S.A.</v>
    <v>5.51</v>
    <v>5.55</v>
    <v>Avenida Paulista 1938 - 5 andar, Bela Vista, SAO PAULO, SAO PAULO, 01.310-942 BR</v>
    <v>Paper &amp; Forest Products</v>
    <v>DXCO3</v>
    <v>Ações</v>
    <v>DEXCO S.A. (BVMF:DXCO3)</v>
    <v>0.01</v>
    <v>1.805E-3</v>
    <v>1759400</v>
  </rv>
  <rv s="2">
    <v>352</v>
  </rv>
  <rv s="0">
    <v>https://www.bing.com/financeapi/forcetrigger?t=apnfpr&amp;q=BVMF%3aTEND3&amp;form=skydnc</v>
    <v>Learn more on Bing</v>
  </rv>
  <rv s="7">
    <v>pt-BR</v>
    <v>apnfpr</v>
    <v>268435456</v>
    <v>1</v>
    <v>Da plataforma Refinitiv</v>
    <v>14</v>
    <v>15</v>
    <v>CONSTRUTORA TENDA S/A (BVMF:TEND3)</v>
    <v>12</v>
    <v>16</v>
    <v>Finance</v>
    <v>5</v>
    <v>25.26</v>
    <v>10.09</v>
    <v>BVMF</v>
    <v>122578100</v>
    <v>23.48</v>
    <v>1993</v>
    <v>22.83</v>
    <v>1.4650000000000001</v>
    <v>B3 - Brazil Stock Exchange</v>
    <v>2890393000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23.58</v>
    <v>6287</v>
    <v>45821.958333333336</v>
    <v>354</v>
    <v>2434590</v>
    <v>BRL</v>
    <v>CONSTRUTORA TENDA S/A</v>
    <v>CONSTRUTORA TENDA S/A</v>
    <v>23.48</v>
    <v>23.1</v>
    <v>Rua Boa Vista, n 280 pavimentos 8 e 9, Centro, SAO PAULO, SAO PAULO, 01.014-908 BR</v>
    <v>Real Estate Operations</v>
    <v>TEND3</v>
    <v>Ações</v>
    <v>CONSTRUTORA TENDA S/A (BVMF:TEND3)</v>
    <v>-0.48</v>
    <v>-2.0355999999999999E-2</v>
    <v>1435100</v>
  </rv>
  <rv s="2">
    <v>355</v>
  </rv>
  <rv s="0">
    <v>https://creativecommons.org/licenses/by-sa/3.0</v>
    <v>CC BY-SA 3.0</v>
  </rv>
  <rv s="0">
    <v>http://en.wikipedia.org/wiki/Eletrobras</v>
    <v>Wikipedia</v>
  </rv>
  <rv s="9">
    <v>357</v>
    <v>358</v>
  </rv>
  <rv s="10">
    <v>25</v>
    <v>https://www.bing.com/th?id=AMMS_47d2a68313bf3c91f117037b98f07a39&amp;qlt=95</v>
    <v>359</v>
    <v>0</v>
    <v>https://www.bing.com/images/search?form=xlimg&amp;q=eletrobras</v>
    <v>Image of CENTRAIS ELETRICAS BRASILEIRAS SA ELETROBRAS</v>
  </rv>
  <rv s="0">
    <v>https://www.bing.com/financeapi/forcetrigger?t=apmh3m&amp;q=BVMF%3aELET3&amp;form=skydnc</v>
    <v>Learn more on Bing</v>
  </rv>
  <rv s="11">
    <v>pt-BR</v>
    <v>apmh3m</v>
    <v>268435456</v>
    <v>1</v>
    <v>Da plataforma Refinitiv</v>
    <v>20</v>
    <v>21</v>
    <v>CENTRAIS ELETRICAS BRASILEIRAS SA ELETROBRAS (BVMF:ELET3)</v>
    <v>23</v>
    <v>24</v>
    <v>Finance</v>
    <v>5</v>
    <v>44.49</v>
    <v>31.93</v>
    <v>BVMF</v>
    <v>2307100000</v>
    <v>41.45</v>
    <v>1962</v>
    <v>40.81</v>
    <v>0.88290000000000002</v>
    <v>B3 - Brazil Stock Exchange</v>
    <v>96867400000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41.42</v>
    <v>7710</v>
    <v>45821.958333333336</v>
    <v>360</v>
    <v>361</v>
    <v>1226360</v>
    <v>BRL</v>
    <v>CENTRAIS ELETRICAS BRASILEIRAS SA ELETROBRAS</v>
    <v>CENTRAIS ELETRICAS BRASILEIRAS SA ELETROBRAS</v>
    <v>41.01</v>
    <v>41.3</v>
    <v>Rua da Quitanda, 196, Lj A, Centro, RIO DE JANEIRO, RIO DE JANEIRO, 20.091-005 BR</v>
    <v>Electrical Utilities &amp; IPPs</v>
    <v>ELET3</v>
    <v>Ações</v>
    <v>CENTRAIS ELETRICAS BRASILEIRAS SA ELETROBRAS (BVMF:ELET3)</v>
    <v>-0.12</v>
    <v>-2.8970000000000003E-3</v>
    <v>5428000</v>
  </rv>
  <rv s="2">
    <v>362</v>
  </rv>
  <rv s="0">
    <v>https://www.bing.com/financeapi/forcetrigger?t=apnlu2&amp;q=BVMF%3aWIZS3&amp;form=skydnc</v>
    <v>Learn more on Bing</v>
  </rv>
  <rv s="7">
    <v>pt-BR</v>
    <v>apnlu2</v>
    <v>268435456</v>
    <v>1</v>
    <v>Da plataforma Refinitiv</v>
    <v>14</v>
    <v>15</v>
    <v>Wiz Co Participações e Corretagem de Seguros S.A. (BVMF:WIZC3)</v>
    <v>12</v>
    <v>16</v>
    <v>Finance</v>
    <v>5</v>
    <v>7.74</v>
    <v>4.9000000000000004</v>
    <v>BVMF</v>
    <v>159907300</v>
    <v>7.72</v>
    <v>1973</v>
    <v>7.57</v>
    <v>1.0591999999999999</v>
    <v>B3 - Brazil Stock Exchange</v>
    <v>1237682000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7.74</v>
    <v>1635</v>
    <v>45821.958333333336</v>
    <v>364</v>
    <v>433420</v>
    <v>BRL</v>
    <v>Wiz Co Participações e Corretagem de Seguros S.A.</v>
    <v>Wiz Co Participações e Corretagem de Seguros S.A.</v>
    <v>7.68</v>
    <v>7.65</v>
    <v>Setor Comercial Norte, Quadra 02, Bloco D, Ed. Liberty Mall, Entrada B, Sala 1301, Asa Norte, BRASILIA, DISTRITO FEDERAL, 70.712-903 BR</v>
    <v>Insurance</v>
    <v>WIZC3</v>
    <v>Ações</v>
    <v>Wiz Co Participações e Corretagem de Seguros S.A. (BVMF:WIZC3)</v>
    <v>-0.09</v>
    <v>-1.1628000000000001E-2</v>
    <v>483500</v>
  </rv>
  <rv s="2">
    <v>365</v>
  </rv>
  <rv s="0">
    <v>https://www.bing.com/financeapi/forcetrigger?t=apnb8m&amp;q=BVMF%3aSAPR4&amp;form=skydnc</v>
    <v>Learn more on Bing</v>
  </rv>
  <rv s="7">
    <v>pt-BR</v>
    <v>apnb8m</v>
    <v>268435456</v>
    <v>1</v>
    <v>Da plataforma Refinitiv</v>
    <v>14</v>
    <v>15</v>
    <v>Companhia de Saneamento do Paraná - Sanepar (BVMF:SAPR4)</v>
    <v>12</v>
    <v>16</v>
    <v>Finance</v>
    <v>5</v>
    <v>7.13</v>
    <v>4.97</v>
    <v>BVMF</v>
    <v>1511206000</v>
    <v>7.13</v>
    <v>1963</v>
    <v>6.79</v>
    <v>0.57999999999999996</v>
    <v>B3 - Brazil Stock Exchange</v>
    <v>10497840000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6.92</v>
    <v>6047</v>
    <v>45821.958333333336</v>
    <v>367</v>
    <v>1373040</v>
    <v>BRL</v>
    <v>Companhia de Saneamento do Paraná - Sanepar</v>
    <v>Companhia de Saneamento do Paraná - Sanepar</v>
    <v>6.88</v>
    <v>7.06</v>
    <v>Rua Engenheiros Reboucas, 1376, Reboucas, CURITIBA, PARANA, 80.215-900 BR</v>
    <v>Water Utilities</v>
    <v>SAPR4</v>
    <v>Ações</v>
    <v>Companhia de Saneamento do Paraná - Sanepar (BVMF:SAPR4)</v>
    <v>0.14000000000000001</v>
    <v>2.0230999999999999E-2</v>
    <v>2020900</v>
  </rv>
  <rv s="2">
    <v>368</v>
  </rv>
  <rv s="0">
    <v>https://www.bing.com/financeapi/forcetrigger?t=apn1fr&amp;q=BVMF%3aNTCO3&amp;form=skydnc</v>
    <v>Learn more on Bing</v>
  </rv>
  <rv s="7">
    <v>pt-BR</v>
    <v>apn1fr</v>
    <v>268435456</v>
    <v>1</v>
    <v>Da plataforma Refinitiv</v>
    <v>14</v>
    <v>15</v>
    <v>NATURA &amp;CO HOLDING S.A. (BVMF:NTCO3)</v>
    <v>12</v>
    <v>16</v>
    <v>Finance</v>
    <v>5</v>
    <v>16.940000000000001</v>
    <v>8.93</v>
    <v>BVMF</v>
    <v>1390615000</v>
    <v>10.36</v>
    <v>2019</v>
    <v>9.9499999999999993</v>
    <v>1.1894</v>
    <v>B3 - Brazil Stock Exchange</v>
    <v>14239897600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10.31</v>
    <v>1709</v>
    <v>45821.958333333336</v>
    <v>370</v>
    <v>7533190</v>
    <v>BRL</v>
    <v>NATURA &amp;CO HOLDING S.A.</v>
    <v>NATURA &amp;CO HOLDING S.A.</v>
    <v>10.23</v>
    <v>10.24</v>
    <v>Av Alexandre Colares 1188 Sala A17 Bloco A, Parque Anhanguera, SAO PAULO, SAO PAULO, 05.106-000 BR</v>
    <v>Personal &amp; Household Products &amp; Services</v>
    <v>NTCO3</v>
    <v>Ações</v>
    <v>NATURA &amp;CO HOLDING S.A. (BVMF:NTCO3)</v>
    <v>-7.0000000000000007E-2</v>
    <v>-6.7900000000000009E-3</v>
    <v>7714900</v>
  </rv>
  <rv s="2">
    <v>371</v>
  </rv>
  <rv s="0">
    <v>https://www.bing.com/financeapi/forcetrigger?t=apmjar&amp;q=BVMF%3aEVEN3&amp;form=skydnc</v>
    <v>Learn more on Bing</v>
  </rv>
  <rv s="8">
    <v>pt-BR</v>
    <v>apmjar</v>
    <v>268435456</v>
    <v>1</v>
    <v>Da plataforma Refinitiv</v>
    <v>17</v>
    <v>18</v>
    <v>EVEN CONSTRUTORA E INCORPORADORA S.A. (BVMF:EVEN3)</v>
    <v>12</v>
    <v>19</v>
    <v>Finance</v>
    <v>5</v>
    <v>7.68</v>
    <v>5.26</v>
    <v>BVMF</v>
    <v>200000000</v>
    <v>7.24</v>
    <v>1980</v>
    <v>7.01</v>
    <v>1.5620000000000001</v>
    <v>B3 - Brazil Stock Exchange</v>
    <v>1422000000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45821.958333333336</v>
    <v>373</v>
    <v>945450</v>
    <v>BRL</v>
    <v>EVEN CONSTRUTORA E INCORPORADORA S.A.</v>
    <v>EVEN CONSTRUTORA E INCORPORADORA S.A.</v>
    <v>7.24</v>
    <v>7.11</v>
    <v>Rua Hungria,1400, 2 andar, Jardim America, SAO PAULO, SAO PAULO, 01.455-000 BR</v>
    <v>Real Estate Operations</v>
    <v>EVEN3</v>
    <v>Ações</v>
    <v>EVEN CONSTRUTORA E INCORPORADORA S.A. (BVMF:EVEN3)</v>
    <v>-0.14000000000000001</v>
    <v>-1.9310000000000001E-2</v>
    <v>420600</v>
  </rv>
  <rv s="2">
    <v>374</v>
  </rv>
  <rv s="0">
    <v>https://www.bing.com/financeapi/forcetrigger?t=apmsa2&amp;q=BVMF%3aITUB3&amp;form=skydnc</v>
    <v>Learn more on Bing</v>
  </rv>
  <rv s="7">
    <v>pt-BR</v>
    <v>apmsa2</v>
    <v>268435456</v>
    <v>1</v>
    <v>Da plataforma Refinitiv</v>
    <v>14</v>
    <v>15</v>
    <v>Itaú Unibanco Holding S.A. (BVMF:ITUB3)</v>
    <v>12</v>
    <v>16</v>
    <v>Finance</v>
    <v>5</v>
    <v>33.97</v>
    <v>22.19</v>
    <v>BVMF</v>
    <v>10784550000</v>
    <v>32.229999999999997</v>
    <v>1943</v>
    <v>31.82</v>
    <v>1.2437</v>
    <v>B3 - Brazil Stock Exchange</v>
    <v>371369600000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32.31</v>
    <v>100600</v>
    <v>45821.958333333336</v>
    <v>376</v>
    <v>21904470</v>
    <v>BRL</v>
    <v>Itaú Unibanco Holding S.A.</v>
    <v>Itaú Unibanco Holding S.A.</v>
    <v>32.21</v>
    <v>32.229999999999997</v>
    <v>Praca Alfredo Egydio de Souza Aranha, 100, T. Olavo Setubal, Piso Itau Unibanco, Parque Jabaquara, SAO PAULO, SAO PAULO, 04.344-902 BR</v>
    <v>Banking Services</v>
    <v>ITUB3</v>
    <v>Ações</v>
    <v>Itaú Unibanco Holding S.A. (BVMF:ITUB3)</v>
    <v>-0.08</v>
    <v>-2.4759999999999999E-3</v>
    <v>684400</v>
  </rv>
  <rv s="2">
    <v>377</v>
  </rv>
  <rv s="0">
    <v>https://www.bing.com/financeapi/forcetrigger?t=apninm&amp;q=BVMF%3aUCAS3&amp;form=skydnc</v>
    <v>Learn more on Bing</v>
  </rv>
  <rv s="7">
    <v>pt-BR</v>
    <v>apninm</v>
    <v>268435456</v>
    <v>1</v>
    <v>Da plataforma Refinitiv</v>
    <v>14</v>
    <v>15</v>
    <v>Unicasa Indústria de Móveis S/A (BVMF:UCAS3)</v>
    <v>12</v>
    <v>16</v>
    <v>Finance</v>
    <v>5</v>
    <v>2.25</v>
    <v>1.39</v>
    <v>BVMF</v>
    <v>66086360</v>
    <v>1.51</v>
    <v>1985</v>
    <v>1.46</v>
    <v>0.54310000000000003</v>
    <v>B3 - Brazil Stock Exchange</v>
    <v>99129540</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1.49</v>
    <v>516</v>
    <v>45821.958333333336</v>
    <v>379</v>
    <v>20080</v>
    <v>BRL</v>
    <v>Unicasa Indústria de Móveis S/A</v>
    <v>Unicasa Indústria de Móveis S/A</v>
    <v>1.51</v>
    <v>1.5</v>
    <v>Rodovia Federal BR-470 Km 212,930, Sao Vendelino, BENTO GONCALVES, RIO GRANDE DO SUL, 95.707-540 BR</v>
    <v>Household Goods</v>
    <v>UCAS3</v>
    <v>Ações</v>
    <v>Unicasa Indústria de Móveis S/A (BVMF:UCAS3)</v>
    <v>0.01</v>
    <v>6.711E-3</v>
    <v>41500</v>
  </rv>
  <rv s="2">
    <v>380</v>
  </rv>
  <rv s="0">
    <v>https://www.bing.com/financeapi/forcetrigger?t=apnjh7&amp;q=BVMF%3aUSIM5&amp;form=skydnc</v>
    <v>Learn more on Bing</v>
  </rv>
  <rv s="7">
    <v>pt-BR</v>
    <v>apnjh7</v>
    <v>268435456</v>
    <v>1</v>
    <v>Da plataforma Refinitiv</v>
    <v>14</v>
    <v>15</v>
    <v>Usinas Siderúrgicas de Minas Gerais S/A - USIMINAS (BVMF:USIM5)</v>
    <v>12</v>
    <v>16</v>
    <v>Finance</v>
    <v>5</v>
    <v>8.6999999999999993</v>
    <v>4.68</v>
    <v>BVMF</v>
    <v>1253079000</v>
    <v>5.0199999999999996</v>
    <v>1954</v>
    <v>4.7699999999999996</v>
    <v>0.91700000000000004</v>
    <v>B3 - Brazil Stock Exchange</v>
    <v>6289832000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5.07</v>
    <v>51182</v>
    <v>45821.958333333336</v>
    <v>382</v>
    <v>9833590</v>
    <v>BRL</v>
    <v>Usinas Siderúrgicas de Minas Gerais S/A - USIMINAS</v>
    <v>Usinas Siderúrgicas de Minas Gerais S/A - USIMINAS</v>
    <v>5.01</v>
    <v>4.7699999999999996</v>
    <v>Avenida do Contorno, 6.594, Savassi, BELO HORIZONTE, MINAS GERAIS, 30.110-044 BR</v>
    <v>Metals &amp; Mining</v>
    <v>USIM5</v>
    <v>Ações</v>
    <v>Usinas Siderúrgicas de Minas Gerais S/A - USIMINAS (BVMF:USIM5)</v>
    <v>-0.3</v>
    <v>-5.9172000000000002E-2</v>
    <v>31703500</v>
  </rv>
  <rv s="2">
    <v>383</v>
  </rv>
  <rv s="0">
    <v>https://www.bing.com/financeapi/forcetrigger?t=bxf8h7&amp;q=BVMF%3aJALL3&amp;form=skydnc</v>
    <v>Learn more on Bing</v>
  </rv>
  <rv s="7">
    <v>pt-BR</v>
    <v>bxf8h7</v>
    <v>268435456</v>
    <v>1</v>
    <v>Da plataforma Refinitiv</v>
    <v>14</v>
    <v>15</v>
    <v>JALLES MACHADO S.A. (BVMF:JALL3)</v>
    <v>12</v>
    <v>16</v>
    <v>Finance</v>
    <v>5</v>
    <v>7.81</v>
    <v>3.72</v>
    <v>BVMF</v>
    <v>303541900</v>
    <v>4.0999999999999996</v>
    <v>1980</v>
    <v>4.0199999999999996</v>
    <v>0.38369999999999999</v>
    <v>B3 - Brazil Stock Exchange</v>
    <v>1238450952</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4.09</v>
    <v>5384</v>
    <v>45821.958333333336</v>
    <v>385</v>
    <v>445110</v>
    <v>BRL</v>
    <v>JALLES MACHADO S.A.</v>
    <v>JALLES MACHADO S.A.</v>
    <v>4.0199999999999996</v>
    <v>4.08</v>
    <v>Fazenda Sao Pedro - Rodovia GO-080 - Km 185, Zona Rural - Caixa Postal 04, GOIANESIA, GOIAS, 76.388-899 BR</v>
    <v>Food &amp; Tobacco</v>
    <v>JALL3</v>
    <v>Ações</v>
    <v>JALLES MACHADO S.A. (BVMF:JALL3)</v>
    <v>-0.01</v>
    <v>-2.4450000000000001E-3</v>
    <v>259300</v>
  </rv>
  <rv s="2">
    <v>386</v>
  </rv>
  <rv s="0">
    <v>https://www.bing.com/financeapi/forcetrigger?t=apm3p2&amp;q=BVMF%3aBRAP4&amp;form=skydnc</v>
    <v>Learn more on Bing</v>
  </rv>
  <rv s="8">
    <v>pt-BR</v>
    <v>apm3p2</v>
    <v>268435456</v>
    <v>1</v>
    <v>Da plataforma Refinitiv</v>
    <v>17</v>
    <v>18</v>
    <v>Bradespar S.A (BVMF:BRAP4)</v>
    <v>12</v>
    <v>19</v>
    <v>Finance</v>
    <v>5</v>
    <v>18.52</v>
    <v>14.67</v>
    <v>BVMF</v>
    <v>393096600</v>
    <v>15.78</v>
    <v>2000</v>
    <v>15.58</v>
    <v>0.96609999999999996</v>
    <v>B3 - Brazil Stock Exchange</v>
    <v>6076995000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15.87</v>
    <v>45821.958333333336</v>
    <v>388</v>
    <v>3236820</v>
    <v>BRL</v>
    <v>Bradespar S.A</v>
    <v>Bradespar S.A</v>
    <v>15.7</v>
    <v>15.61</v>
    <v>Avenida Paulista, 1.450,9 andar, Cerqueira Cesar, SAO PAULO, SAO PAULO, 01.310-917 BR</v>
    <v>Metals &amp; Mining</v>
    <v>BRAP4</v>
    <v>Ações</v>
    <v>Bradespar S.A (BVMF:BRAP4)</v>
    <v>-0.26</v>
    <v>-1.6383000000000002E-2</v>
    <v>4575900</v>
  </rv>
  <rv s="2">
    <v>389</v>
  </rv>
  <rv s="0">
    <v>https://www.bing.com/financeapi/forcetrigger?t=apmclh&amp;q=BVMF%3aCSMG3&amp;form=skydnc</v>
    <v>Learn more on Bing</v>
  </rv>
  <rv s="7">
    <v>pt-BR</v>
    <v>apmclh</v>
    <v>268435456</v>
    <v>1</v>
    <v>Da plataforma Refinitiv</v>
    <v>14</v>
    <v>15</v>
    <v>Companhia de Saneamento de Minas Gerais - COPASA MG (BVMF:CSMG3)</v>
    <v>12</v>
    <v>16</v>
    <v>Finance</v>
    <v>5</v>
    <v>26.71</v>
    <v>17.96</v>
    <v>BVMF</v>
    <v>380253100</v>
    <v>26.71</v>
    <v>1963</v>
    <v>24.89</v>
    <v>0.82799999999999996</v>
    <v>B3 - Brazil Stock Exchange</v>
    <v>10084312212</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25.08</v>
    <v>10038</v>
    <v>45821.958333333336</v>
    <v>391</v>
    <v>1839460</v>
    <v>BRL</v>
    <v>Companhia de Saneamento de Minas Gerais - COPASA MG</v>
    <v>Companhia de Saneamento de Minas Gerais - COPASA MG</v>
    <v>25.08</v>
    <v>26.52</v>
    <v>Rua Mar de Espanha, 525, Santo Antonio, BELO HORIZONTE, MINAS GERAIS, 30.270-130 BR</v>
    <v>Water Utilities</v>
    <v>CSMG3</v>
    <v>Ações</v>
    <v>Companhia de Saneamento de Minas Gerais - COPASA MG (BVMF:CSMG3)</v>
    <v>1.44</v>
    <v>5.7416000000000002E-2</v>
    <v>7529200</v>
  </rv>
  <rv s="2">
    <v>392</v>
  </rv>
  <rv s="0">
    <v>https://www.bing.com/financeapi/forcetrigger?t=apn9fr&amp;q=BVMF%3aRENT3&amp;form=skydnc</v>
    <v>Learn more on Bing</v>
  </rv>
  <rv s="7">
    <v>pt-BR</v>
    <v>apn9fr</v>
    <v>268435456</v>
    <v>1</v>
    <v>Da plataforma Refinitiv</v>
    <v>14</v>
    <v>15</v>
    <v>LOCALIZA RENT A CAR S.A. (BVMF:RENT3)</v>
    <v>12</v>
    <v>16</v>
    <v>Finance</v>
    <v>5</v>
    <v>48.46</v>
    <v>26.37</v>
    <v>BVMF</v>
    <v>1082621000</v>
    <v>44.52</v>
    <v>1973</v>
    <v>43.71</v>
    <v>1.2496</v>
    <v>B3 - Brazil Stock Exchange</v>
    <v>47656976420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44.46</v>
    <v>22134</v>
    <v>45821.958333333336</v>
    <v>394</v>
    <v>8898790</v>
    <v>BRL</v>
    <v>LOCALIZA RENT A CAR S.A.</v>
    <v>LOCALIZA RENT A CAR S.A.</v>
    <v>43.71</v>
    <v>44.02</v>
    <v>Avenida Bernardo de Vasconcelos,377, Cachoeirinha, BELO HORIZONTE, MINAS GERAIS, 31.150-000 BR</v>
    <v>Passenger Transportation Services</v>
    <v>RENT3</v>
    <v>Ações</v>
    <v>LOCALIZA RENT A CAR S.A. (BVMF:RENT3)</v>
    <v>-0.44</v>
    <v>-9.8969999999999995E-3</v>
    <v>5326400</v>
  </rv>
  <rv s="2">
    <v>395</v>
  </rv>
  <rv s="0">
    <v>https://www.bing.com/financeapi/forcetrigger?t=apn8dm&amp;q=BVMF%3aRAPT4&amp;form=skydnc</v>
    <v>Learn more on Bing</v>
  </rv>
  <rv s="7">
    <v>pt-BR</v>
    <v>apn8dm</v>
    <v>268435456</v>
    <v>1</v>
    <v>Da plataforma Refinitiv</v>
    <v>14</v>
    <v>15</v>
    <v>RANDONCORP S.A. (BVMF:RAPT4)</v>
    <v>12</v>
    <v>16</v>
    <v>Finance</v>
    <v>5</v>
    <v>12.04</v>
    <v>7.86</v>
    <v>BVMF</v>
    <v>329330500</v>
    <v>8.85</v>
    <v>1992</v>
    <v>8.6199999999999992</v>
    <v>0.86199999999999999</v>
    <v>B3 - Brazil Stock Exchange</v>
    <v>2834132000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8.91</v>
    <v>6413</v>
    <v>45821.958333333336</v>
    <v>397</v>
    <v>3938270</v>
    <v>BRL</v>
    <v>RANDONCORP S.A.</v>
    <v>RANDONCORP S.A.</v>
    <v>8.84</v>
    <v>8.65</v>
    <v>Av. Abramo Randon, 770, Interlagos, CAXIAS DO SUL, RIO GRANDE DO SUL, 95.055-010 BR</v>
    <v>Automobiles &amp; Auto Parts</v>
    <v>RAPT4</v>
    <v>Ações</v>
    <v>RANDONCORP S.A. (BVMF:RAPT4)</v>
    <v>-0.26</v>
    <v>-2.9180999999999999E-2</v>
    <v>5206000</v>
  </rv>
  <rv s="2">
    <v>398</v>
  </rv>
  <rv s="0">
    <v>https://www.bing.com/financeapi/forcetrigger?t=apn8ar&amp;q=BVMF%3aRAPT3&amp;form=skydnc</v>
    <v>Learn more on Bing</v>
  </rv>
  <rv s="7">
    <v>pt-BR</v>
    <v>apn8ar</v>
    <v>268435456</v>
    <v>1</v>
    <v>Da plataforma Refinitiv</v>
    <v>14</v>
    <v>15</v>
    <v>RANDONCORP S.A. (BVMF:RAPT3)</v>
    <v>12</v>
    <v>16</v>
    <v>Finance</v>
    <v>5</v>
    <v>9.99</v>
    <v>7.31</v>
    <v>BVMF</v>
    <v>329330500</v>
    <v>8.14</v>
    <v>1992</v>
    <v>7.9</v>
    <v>0.86199999999999999</v>
    <v>B3 - Brazil Stock Exchange</v>
    <v>2834132000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8.0500000000000007</v>
    <v>6413</v>
    <v>45821.958333333336</v>
    <v>400</v>
    <v>3938270</v>
    <v>BRL</v>
    <v>RANDONCORP S.A.</v>
    <v>RANDONCORP S.A.</v>
    <v>8.1</v>
    <v>8.0299999999999994</v>
    <v>Av. Abramo Randon, 770, Interlagos, CAXIAS DO SUL, RIO GRANDE DO SUL, 95.055-010 BR</v>
    <v>Automobiles &amp; Auto Parts</v>
    <v>RAPT3</v>
    <v>Ações</v>
    <v>RANDONCORP S.A. (BVMF:RAPT3)</v>
    <v>-0.02</v>
    <v>-2.4840000000000001E-3</v>
    <v>265200</v>
  </rv>
  <rv s="2">
    <v>401</v>
  </rv>
  <rv s="0">
    <v>https://www.bing.com/financeapi/forcetrigger?t=bxiaqh&amp;q=BVMF%3aMBLY3&amp;form=skydnc</v>
    <v>Learn more on Bing</v>
  </rv>
  <rv s="8">
    <v>pt-BR</v>
    <v>bxiaqh</v>
    <v>268435456</v>
    <v>1</v>
    <v>Da plataforma Refinitiv</v>
    <v>17</v>
    <v>18</v>
    <v>GRUPO TOKY S.A. (BVMF:TOKY3)</v>
    <v>12</v>
    <v>19</v>
    <v>Finance</v>
    <v>5</v>
    <v>3.3</v>
    <v>0.93</v>
    <v>BVMF</v>
    <v>122763400</v>
    <v>0.96</v>
    <v>2018</v>
    <v>0.94</v>
    <v>1.5508999999999999</v>
    <v>B3 - Brazil Stock Exchange</v>
    <v>117852864</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0.97</v>
    <v>45821.958333333336</v>
    <v>403</v>
    <v>222090</v>
    <v>BRL</v>
    <v>GRUPO TOKY S.A.</v>
    <v>GRUPO TOKY S.A.</v>
    <v>0.96</v>
    <v>0.96</v>
    <v>Avenida das Nacoes Unidas, n 16.737, Mezanino sala 2, Varzea de Baixo, Sao Paulo, SAO PAULO, 04.730-090 BR</v>
    <v>Specialty Retailers</v>
    <v>TOKY3</v>
    <v>Ações</v>
    <v>GRUPO TOKY S.A. (BVMF:TOKY3)</v>
    <v>-0.01</v>
    <v>-1.0308999999999999E-2</v>
    <v>263900</v>
  </rv>
  <rv s="2">
    <v>404</v>
  </rv>
  <rv s="0">
    <v>https://www.bing.com/financeapi/forcetrigger?t=apmo1h&amp;q=BVMF%3aGOAU4&amp;form=skydnc</v>
    <v>Learn more on Bing</v>
  </rv>
  <rv s="7">
    <v>pt-BR</v>
    <v>apmo1h</v>
    <v>268435456</v>
    <v>1</v>
    <v>Da plataforma Refinitiv</v>
    <v>14</v>
    <v>15</v>
    <v>METALURGICA GERDAU S.A. (BVMF:GOAU4)</v>
    <v>12</v>
    <v>16</v>
    <v>Finance</v>
    <v>5</v>
    <v>11.8</v>
    <v>7.6</v>
    <v>BVMF</v>
    <v>993705800</v>
    <v>9.3000000000000007</v>
    <v>1901</v>
    <v>9.14</v>
    <v>0.69589999999999996</v>
    <v>B3 - Brazil Stock Exchange</v>
    <v>9162569000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9.25</v>
    <v>30000</v>
    <v>45821.958333333336</v>
    <v>406</v>
    <v>11757870</v>
    <v>BRL</v>
    <v>METALURGICA GERDAU S.A.</v>
    <v>METALURGICA GERDAU S.A.</v>
    <v>9.18</v>
    <v>9.19</v>
    <v>Avenida Doutora Ruth Cardoso, 8.501,8 andar, Pinheiros, SAO PAULO, SAO PAULO, 05.425-070 BR</v>
    <v>Metals &amp; Mining</v>
    <v>GOAU4</v>
    <v>Ações</v>
    <v>METALURGICA GERDAU S.A. (BVMF:GOAU4)</v>
    <v>-0.06</v>
    <v>-6.4859999999999996E-3</v>
    <v>5462200</v>
  </rv>
  <rv s="2">
    <v>407</v>
  </rv>
  <rv s="15">
    <v>12</v>
    <v>Beta</v>
    <v>0</v>
  </rv>
  <rv s="5">
    <v>12</v>
    <v>1</v>
  </rv>
  <rv s="0">
    <v>https://www.bing.com/financeapi/forcetrigger?t=apmfar&amp;q=BVMF%3aDOHL4&amp;form=skydnc</v>
    <v>Learn more on Bing</v>
  </rv>
  <rv s="16">
    <v>pt-BR</v>
    <v>apmfar</v>
    <v>268435456</v>
    <v>1</v>
    <v>Da plataforma Refinitiv</v>
    <v>36</v>
    <v>37</v>
    <v>DOHLER S.A. (BVMF:DOHL4)</v>
    <v>12</v>
    <v>38</v>
    <v>Finance</v>
    <v>5</v>
    <v>4.4000000000000004</v>
    <v>3.5</v>
    <v>BVMF</v>
    <v>75645290</v>
    <v>3.98</v>
    <v>1944</v>
    <v>3.98</v>
    <v>B3 - Brazil Stock Exchange</v>
    <v>438871800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3.98</v>
    <v>3000</v>
    <v>45821.958333333336</v>
    <v>411</v>
    <v>40</v>
    <v>BRL</v>
    <v>DOHLER S.A.</v>
    <v>DOHLER S.A.</v>
    <v>3.98</v>
    <v>3.98</v>
    <v>Rua Arno Waldemar Dohler, 145, Zona Indl. Norte, JOINVILLE, SANTA CATARINA, 89.219-902 BR</v>
    <v>Textiles &amp; Apparel</v>
    <v>DOHL4</v>
    <v>Ações</v>
    <v>DOHLER S.A. (BVMF:DOHL4)</v>
    <v>0</v>
    <v>0</v>
    <v>400</v>
  </rv>
  <rv s="2">
    <v>412</v>
  </rv>
  <rv s="0">
    <v>https://www.bing.com/financeapi/forcetrigger?t=apm3ur&amp;q=BVMF%3aBRFS3&amp;form=skydnc</v>
    <v>Learn more on Bing</v>
  </rv>
  <rv s="7">
    <v>pt-BR</v>
    <v>apm3ur</v>
    <v>268435456</v>
    <v>1</v>
    <v>Da plataforma Refinitiv</v>
    <v>14</v>
    <v>15</v>
    <v>BRF S.A. (BVMF:BRFS3)</v>
    <v>12</v>
    <v>16</v>
    <v>Finance</v>
    <v>5</v>
    <v>28.87</v>
    <v>17.309999999999999</v>
    <v>BVMF</v>
    <v>1682473000</v>
    <v>21.02</v>
    <v>1934</v>
    <v>20.09</v>
    <v>1.5078</v>
    <v>B3 - Brazil Stock Exchange</v>
    <v>35331933000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20.69</v>
    <v>100000</v>
    <v>45821.958333333336</v>
    <v>414</v>
    <v>7150320</v>
    <v>BRL</v>
    <v>BRF S.A.</v>
    <v>BRF S.A.</v>
    <v>20.55</v>
    <v>21</v>
    <v>Av. Jorge Tzachel, 475, Fazenda, ITAJAI, SANTA CATARINA, 88.301-600 BR</v>
    <v>Food &amp; Tobacco</v>
    <v>BRFS3</v>
    <v>Ações</v>
    <v>BRF S.A. (BVMF:BRFS3)</v>
    <v>0.31</v>
    <v>1.4983E-2</v>
    <v>10327700</v>
  </rv>
  <rv s="2">
    <v>415</v>
  </rv>
  <rv s="0">
    <v>https://www.bing.com/financeapi/forcetrigger?t=bxmpim&amp;q=BVMF%3aINTB3&amp;form=skydnc</v>
    <v>Learn more on Bing</v>
  </rv>
  <rv s="8">
    <v>pt-BR</v>
    <v>bxmpim</v>
    <v>268435456</v>
    <v>1</v>
    <v>Da plataforma Refinitiv</v>
    <v>17</v>
    <v>18</v>
    <v>Intelbras S.A. Indústria de Telecomunicação Eletrônica Brasileira (BVMF:INTB3)</v>
    <v>12</v>
    <v>19</v>
    <v>Finance</v>
    <v>5</v>
    <v>23.01</v>
    <v>11.26</v>
    <v>BVMF</v>
    <v>327611100</v>
    <v>14.97</v>
    <v>1974</v>
    <v>14.34</v>
    <v>1.2407999999999999</v>
    <v>B3 - Brazil Stock Exchange</v>
    <v>4871577057</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14.78</v>
    <v>45821.958333333336</v>
    <v>417</v>
    <v>2427080</v>
    <v>BRL</v>
    <v>Intelbras S.A. Indústria de Telecomunicação Eletrônica Brasileira</v>
    <v>Intelbras S.A. Indústria de Telecomunicação Eletrônica Brasileira</v>
    <v>14.8</v>
    <v>14.87</v>
    <v>Rodovia BR 101 Km 210, Area Industrial, SAO JOSE, SANTA CATARINA, 88.104-800 BR</v>
    <v>Communications &amp; Networking</v>
    <v>INTB3</v>
    <v>Ações</v>
    <v>Intelbras S.A. Indústria de Telecomunicação Eletrônica Brasileira (BVMF:INTB3)</v>
    <v>0.09</v>
    <v>6.0889999999999998E-3</v>
    <v>2453300</v>
  </rv>
  <rv s="2">
    <v>418</v>
  </rv>
  <rv s="0">
    <v>https://www.bing.com/financeapi/forcetrigger?t=c2ry1h&amp;q=BVMF%3aCBAV3&amp;form=skydnc</v>
    <v>Learn more on Bing</v>
  </rv>
  <rv s="7">
    <v>pt-BR</v>
    <v>c2ry1h</v>
    <v>268435456</v>
    <v>1</v>
    <v>Da plataforma Refinitiv</v>
    <v>14</v>
    <v>15</v>
    <v>Companhia Brasileira de Alumínio (BVMF:CBAV3)</v>
    <v>12</v>
    <v>16</v>
    <v>Finance</v>
    <v>5</v>
    <v>7.62</v>
    <v>3.6</v>
    <v>BVMF</v>
    <v>651072700</v>
    <v>4.5</v>
    <v>1941</v>
    <v>4.3099999999999996</v>
    <v>0.98050000000000004</v>
    <v>B3 - Brazil Stock Exchange</v>
    <v>2806123336</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4.5599999999999996</v>
    <v>5811</v>
    <v>45821.958333333336</v>
    <v>420</v>
    <v>6735400</v>
    <v>BRL</v>
    <v>Companhia Brasileira de Alumínio</v>
    <v>Companhia Brasileira de Alumínio</v>
    <v>4.5</v>
    <v>4.3099999999999996</v>
    <v>Av. Luis Carlos Berrini, 105, 14 andar, Cidade Moncoes, SAO PAULO, SAO PAULO, 04.571-900 BR</v>
    <v>Metals &amp; Mining</v>
    <v>CBAV3</v>
    <v>Ações</v>
    <v>Companhia Brasileira de Alumínio (BVMF:CBAV3)</v>
    <v>-0.25</v>
    <v>-5.4824999999999999E-2</v>
    <v>6517800</v>
  </rv>
  <rv s="2">
    <v>421</v>
  </rv>
  <rv s="0">
    <v>https://www.bing.com/financeapi/forcetrigger?t=apmtz2&amp;q=BVMF%3aKLBN3&amp;form=skydnc</v>
    <v>Learn more on Bing</v>
  </rv>
  <rv s="7">
    <v>pt-BR</v>
    <v>apmtz2</v>
    <v>268435456</v>
    <v>1</v>
    <v>Da plataforma Refinitiv</v>
    <v>14</v>
    <v>15</v>
    <v>KLABIN S.A. (BVMF:KLBN3)</v>
    <v>12</v>
    <v>16</v>
    <v>Finance</v>
    <v>5</v>
    <v>4.92</v>
    <v>3.59</v>
    <v>BVMF</v>
    <v>1235936000</v>
    <v>3.87</v>
    <v>1978</v>
    <v>3.78</v>
    <v>0.34710000000000002</v>
    <v>B3 - Brazil Stock Exchange</v>
    <v>22867330000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3.82</v>
    <v>14207</v>
    <v>45821.958333333336</v>
    <v>423</v>
    <v>1886120</v>
    <v>BRL</v>
    <v>KLABIN S.A.</v>
    <v>KLABIN S.A.</v>
    <v>3.83</v>
    <v>3.85</v>
    <v>Avenida Brigadeiro Faria Lima, 3600, 3, 4 E 5 Andares, Itaim Bibi, SAO PAULO, SAO PAULO, 04.538-132 BR</v>
    <v>Containers &amp; Packaging</v>
    <v>KLBN3</v>
    <v>Ações</v>
    <v>KLABIN S.A. (BVMF:KLBN3)</v>
    <v>0.03</v>
    <v>7.8530000000000006E-3</v>
    <v>405700</v>
  </rv>
  <rv s="2">
    <v>424</v>
  </rv>
  <rv s="0">
    <v>https://www.bing.com/financeapi/forcetrigger?t=bwaq4c&amp;q=BVMF%3aGMAT3&amp;form=skydnc</v>
    <v>Learn more on Bing</v>
  </rv>
  <rv s="7">
    <v>pt-BR</v>
    <v>bwaq4c</v>
    <v>268435456</v>
    <v>1</v>
    <v>Da plataforma Refinitiv</v>
    <v>14</v>
    <v>15</v>
    <v>GRUPO MATEUS S.A. (BVMF:GMAT3)</v>
    <v>12</v>
    <v>16</v>
    <v>Finance</v>
    <v>5</v>
    <v>8.2100000000000009</v>
    <v>5.8</v>
    <v>BVMF</v>
    <v>2248470000</v>
    <v>7.9</v>
    <v>2016</v>
    <v>7.74</v>
    <v>1.2967</v>
    <v>B3 - Brazil Stock Exchange</v>
    <v>17493096600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7.95</v>
    <v>29668</v>
    <v>45821.958333333336</v>
    <v>426</v>
    <v>3788260</v>
    <v>BRL</v>
    <v>GRUPO MATEUS S.A.</v>
    <v>GRUPO MATEUS S.A.</v>
    <v>7.9</v>
    <v>7.78</v>
    <v>Av. Daniel de la Touche, 73A, Cohama, SAO LUIS, MARANHAO, 65.074-115 BR</v>
    <v>Food &amp; Drug Retailing</v>
    <v>GMAT3</v>
    <v>Ações</v>
    <v>GRUPO MATEUS S.A. (BVMF:GMAT3)</v>
    <v>-0.17</v>
    <v>-2.1384E-2</v>
    <v>1577200</v>
  </rv>
  <rv s="2">
    <v>427</v>
  </rv>
  <rv s="0">
    <v>https://www.bing.com/financeapi/forcetrigger?t=apngxm&amp;q=BVMF%3aTIMS3&amp;form=skydnc</v>
    <v>Learn more on Bing</v>
  </rv>
  <rv s="7">
    <v>pt-BR</v>
    <v>apngxm</v>
    <v>268435456</v>
    <v>1</v>
    <v>Da plataforma Refinitiv</v>
    <v>14</v>
    <v>15</v>
    <v>TIM S.A. (BVMF:TIMS3)</v>
    <v>12</v>
    <v>16</v>
    <v>Finance</v>
    <v>5</v>
    <v>21.09</v>
    <v>12.82</v>
    <v>BVMF</v>
    <v>2420804000</v>
    <v>20.96</v>
    <v>1998</v>
    <v>20.52</v>
    <v>0.69069999999999998</v>
    <v>B3 - Brazil Stock Exchange</v>
    <v>49771730240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20.92</v>
    <v>9127</v>
    <v>45821.958333333336</v>
    <v>429</v>
    <v>7078420</v>
    <v>BRL</v>
    <v>TIM S.A.</v>
    <v>TIM S.A.</v>
    <v>20.7</v>
    <v>20.56</v>
    <v>Av Joao Cabral De Mello Neto 00850 Blc 001 Salas 0501 A 1208, Barra Da Tijuca, RIO DE JANEIRO, RIO DE JANEIRO, 22.775-057 BR</v>
    <v>Telecommunications Services</v>
    <v>TIMS3</v>
    <v>Ações</v>
    <v>TIM S.A. (BVMF:TIMS3)</v>
    <v>-0.36</v>
    <v>-1.7208000000000001E-2</v>
    <v>4302000</v>
  </rv>
  <rv s="2">
    <v>430</v>
  </rv>
  <rv s="0">
    <v>https://www.bing.com/financeapi/forcetrigger?t=apm352&amp;q=BVMF%3aBPAC3&amp;form=skydnc</v>
    <v>Learn more on Bing</v>
  </rv>
  <rv s="7">
    <v>pt-BR</v>
    <v>apm352</v>
    <v>268435456</v>
    <v>1</v>
    <v>Da plataforma Refinitiv</v>
    <v>14</v>
    <v>15</v>
    <v>Banco BTG Pactual S.A. (BVMF:BPAC3)</v>
    <v>12</v>
    <v>16</v>
    <v>Finance</v>
    <v>5</v>
    <v>24.07</v>
    <v>13.16</v>
    <v>BVMF</v>
    <v>10108690000</v>
    <v>22.85</v>
    <v>1979</v>
    <v>22.42</v>
    <v>1.3798999999999999</v>
    <v>B3 - Brazil Stock Exchange</v>
    <v>190654700000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22.72</v>
    <v>4900</v>
    <v>45821.958333333336</v>
    <v>432</v>
    <v>7373350</v>
    <v>BRL</v>
    <v>Banco BTG Pactual S.A.</v>
    <v>Banco BTG Pactual S.A.</v>
    <v>22.72</v>
    <v>22.84</v>
    <v>Praia de Botafogo, 501, 5 e 6 andares, Botafogo, RIO DE JANEIRO, RIO DE JANEIRO, 22.250-040 BR</v>
    <v>Investment Banking &amp; Investment Services</v>
    <v>BPAC3</v>
    <v>Ações</v>
    <v>Banco BTG Pactual S.A. (BVMF:BPAC3)</v>
    <v>0.12</v>
    <v>5.2820000000000002E-3</v>
    <v>4600</v>
  </rv>
  <rv s="2">
    <v>433</v>
  </rv>
  <rv s="0">
    <v>https://www.bing.com/financeapi/forcetrigger?t=bsfxec&amp;q=BVMF%3aVIVA3&amp;form=skydnc</v>
    <v>Learn more on Bing</v>
  </rv>
  <rv s="7">
    <v>pt-BR</v>
    <v>bsfxec</v>
    <v>268435456</v>
    <v>1</v>
    <v>Da plataforma Refinitiv</v>
    <v>14</v>
    <v>15</v>
    <v>Vivara Participações S.A. (BVMF:VIVA3)</v>
    <v>12</v>
    <v>16</v>
    <v>Finance</v>
    <v>5</v>
    <v>28.31</v>
    <v>15.76</v>
    <v>BVMF</v>
    <v>236197800</v>
    <v>24.44</v>
    <v>2019</v>
    <v>23.84</v>
    <v>1.3922000000000001</v>
    <v>B3 - Brazil Stock Exchange</v>
    <v>5753778408</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24.65</v>
    <v>6216</v>
    <v>45821.958333333336</v>
    <v>435</v>
    <v>3368270</v>
    <v>BRL</v>
    <v>Vivara Participações S.A.</v>
    <v>Vivara Participações S.A.</v>
    <v>24.33</v>
    <v>24.36</v>
    <v>Rua Arquiteto Olavo Redig de Campos, 105 -15 andar, Chacara Santo Antonio, Sao Paulo, SAO PAULO, 04.709-000 BR</v>
    <v>Specialty Retailers</v>
    <v>VIVA3</v>
    <v>Ações</v>
    <v>Vivara Participações S.A. (BVMF:VIVA3)</v>
    <v>-0.28999999999999998</v>
    <v>-1.1765000000000001E-2</v>
    <v>1826100</v>
  </rv>
  <rv s="2">
    <v>436</v>
  </rv>
  <rv s="0">
    <v>https://www.bing.com/financeapi/forcetrigger?t=boezz2&amp;q=BVMF%3aLOGG3&amp;form=skydnc</v>
    <v>Learn more on Bing</v>
  </rv>
  <rv s="13">
    <v>pt-BR</v>
    <v>boezz2</v>
    <v>268435456</v>
    <v>1</v>
    <v>Da plataforma Refinitiv</v>
    <v>29</v>
    <v>30</v>
    <v>Log Commercial Properties e Participações S/A (BVMF:LOGG3)</v>
    <v>12</v>
    <v>31</v>
    <v>Finance</v>
    <v>5</v>
    <v>22.85</v>
    <v>15.82</v>
    <v>BVMF</v>
    <v>87859150</v>
    <v>21.06</v>
    <v>20.59</v>
    <v>1.1686000000000001</v>
    <v>B3 - Brazil Stock Exchange</v>
    <v>1821320179</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20.85</v>
    <v>45821.958333333336</v>
    <v>438</v>
    <v>207940</v>
    <v>BRL</v>
    <v>Log Commercial Properties e Participações S/A</v>
    <v>Log Commercial Properties e Participações S/A</v>
    <v>21.06</v>
    <v>20.73</v>
    <v>Av. Professor Mario Werneck, n 621, 10 andar, BH/MG, Conjunto 02, Estoril, BELO HORIZONTE, MINAS GERAIS, 30.455-610 BR</v>
    <v>Real Estate Operations</v>
    <v>LOGG3</v>
    <v>Ações</v>
    <v>Log Commercial Properties e Participações S/A (BVMF:LOGG3)</v>
    <v>-0.12</v>
    <v>-5.7549999999999997E-3</v>
    <v>97500</v>
  </rv>
  <rv s="2">
    <v>439</v>
  </rv>
  <rv s="0">
    <v>https://www.bing.com/financeapi/forcetrigger?t=apn7pr&amp;q=BVMF%3aQUAL3&amp;form=skydnc</v>
    <v>Learn more on Bing</v>
  </rv>
  <rv s="7">
    <v>pt-BR</v>
    <v>apn7pr</v>
    <v>268435456</v>
    <v>1</v>
    <v>Da plataforma Refinitiv</v>
    <v>14</v>
    <v>15</v>
    <v>QUALICORP CONSULTORIA E CORRETORA DE SEGUROS S.A. (BVMF:QUAL3)</v>
    <v>12</v>
    <v>16</v>
    <v>Finance</v>
    <v>5</v>
    <v>2.75</v>
    <v>1.37</v>
    <v>BVMF</v>
    <v>284014300</v>
    <v>2.02</v>
    <v>2010</v>
    <v>1.9</v>
    <v>1.3686</v>
    <v>B3 - Brazil Stock Exchange</v>
    <v>542467313</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2</v>
    <v>1558</v>
    <v>45821.958333333336</v>
    <v>441</v>
    <v>1990160</v>
    <v>BRL</v>
    <v>QUALICORP CONSULTORIA E CORRETORA DE SEGUROS S.A.</v>
    <v>QUALICORP CONSULTORIA E CORRETORA DE SEGUROS S.A.</v>
    <v>2.0099999999999998</v>
    <v>1.91</v>
    <v>Avenida Paulista, 4753 andar - parte, Bela Vista, SAO PAULO, SAO PAULO, 01.311-000 BR</v>
    <v>Insurance</v>
    <v>QUAL3</v>
    <v>Ações</v>
    <v>QUALICORP CONSULTORIA E CORRETORA DE SEGUROS S.A. (BVMF:QUAL3)</v>
    <v>-0.09</v>
    <v>-4.4999999999999998E-2</v>
    <v>2782000</v>
  </rv>
  <rv s="2">
    <v>442</v>
  </rv>
  <rv s="0">
    <v>https://www.bing.com/financeapi/forcetrigger?t=apn54c&amp;q=BVMF%3aPNVL3&amp;form=skydnc</v>
    <v>Learn more on Bing</v>
  </rv>
  <rv s="7">
    <v>pt-BR</v>
    <v>apn54c</v>
    <v>268435456</v>
    <v>1</v>
    <v>Da plataforma Refinitiv</v>
    <v>14</v>
    <v>15</v>
    <v>DIMED S.A. DISTRIBUIDORA DE MEDICAMENTOS (BVMF:PNVL3)</v>
    <v>12</v>
    <v>16</v>
    <v>Finance</v>
    <v>5</v>
    <v>10.86</v>
    <v>7.75</v>
    <v>BVMF</v>
    <v>150377500</v>
    <v>8.3699999999999992</v>
    <v>1920</v>
    <v>8.14</v>
    <v>1.1120000000000001</v>
    <v>B3 - Brazil Stock Exchange</v>
    <v>1230087950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8.31</v>
    <v>10698</v>
    <v>45821.958333333336</v>
    <v>444</v>
    <v>651690</v>
    <v>BRL</v>
    <v>DIMED S.A. DISTRIBUIDORA DE MEDICAMENTOS</v>
    <v>DIMED S.A. DISTRIBUIDORA DE MEDICAMENTOS</v>
    <v>8.18</v>
    <v>8.18</v>
    <v>Avenida Industrial Belgraff, 865, Predio 100, Industrial, ELDORADO DO SUL, RIO GRANDE DO SUL, 92.990-000 BR</v>
    <v>Food &amp; Drug Retailing</v>
    <v>PNVL3</v>
    <v>Ações</v>
    <v>DIMED S.A. DISTRIBUIDORA DE MEDICAMENTOS (BVMF:PNVL3)</v>
    <v>-0.13</v>
    <v>-1.5644000000000002E-2</v>
    <v>365700</v>
  </rv>
  <rv s="2">
    <v>445</v>
  </rv>
  <rv s="17">
    <v>pt-BR</v>
    <v>cg99rw</v>
    <v>268435456</v>
    <v>1</v>
    <v>Da plataforma Refinitiv</v>
    <v>39</v>
    <v>40</v>
    <v>Brompton Split Corp. Cl A ETF (NEOE:CLSA)</v>
    <v>41</v>
    <v>42</v>
    <v>Finance</v>
    <v>43</v>
    <v>10.8</v>
    <v>8.83</v>
    <v>NEOE</v>
    <v>10.77</v>
    <v>10.77</v>
    <v>NEO Exchange</v>
    <v>4296265</v>
    <v>10.8</v>
    <v>45821.727717753907</v>
    <v>CAD</v>
    <v>Brompton Split Corp. Cl A ETF</v>
    <v>10.77</v>
    <v>10.77</v>
    <v>CLSA</v>
    <v>Fundos mais negociados</v>
    <v>Brompton Split Corp. Cl A ETF (NEOE:CLSA)</v>
    <v>-0.03</v>
    <v>-2.7780000000000001E-3</v>
    <v>1900</v>
  </rv>
  <rv s="2">
    <v>447</v>
  </rv>
  <rv s="15">
    <v>12</v>
    <v>Ações em circulação</v>
    <v>0</v>
  </rv>
  <rv s="0">
    <v>https://www.bing.com/financeapi/forcetrigger?t=apmu2w&amp;q=BVMF%3aKLBN4&amp;form=skydnc</v>
    <v>Learn more on Bing</v>
  </rv>
  <rv s="7">
    <v>pt-BR</v>
    <v>apmu2w</v>
    <v>268435456</v>
    <v>1</v>
    <v>Da plataforma Refinitiv</v>
    <v>14</v>
    <v>15</v>
    <v>KLABIN S.A. (BVMF:KLBN4)</v>
    <v>12</v>
    <v>16</v>
    <v>Finance</v>
    <v>5</v>
    <v>4.6900000000000004</v>
    <v>3.48</v>
    <v>BVMF</v>
    <v>1235936000</v>
    <v>3.68</v>
    <v>1978</v>
    <v>3.6</v>
    <v>0.34710000000000002</v>
    <v>B3 - Brazil Stock Exchange</v>
    <v>22867330000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3.63</v>
    <v>14207</v>
    <v>45821.958333333336</v>
    <v>450</v>
    <v>1886120</v>
    <v>BRL</v>
    <v>KLABIN S.A.</v>
    <v>KLABIN S.A.</v>
    <v>3.64</v>
    <v>3.64</v>
    <v>Avenida Brigadeiro Faria Lima, 3600, 3, 4 E 5 Andares, Itaim Bibi, SAO PAULO, SAO PAULO, 04.538-132 BR</v>
    <v>Containers &amp; Packaging</v>
    <v>KLBN4</v>
    <v>Ações</v>
    <v>KLABIN S.A. (BVMF:KLBN4)</v>
    <v>0.01</v>
    <v>2.7550000000000001E-3</v>
    <v>1805900</v>
  </rv>
  <rv s="2">
    <v>451</v>
  </rv>
  <rv s="0">
    <v>https://www.bing.com/financeapi/forcetrigger?t=apm37w&amp;q=BVMF%3aBPAC5&amp;form=skydnc</v>
    <v>Learn more on Bing</v>
  </rv>
  <rv s="7">
    <v>pt-BR</v>
    <v>apm37w</v>
    <v>268435456</v>
    <v>1</v>
    <v>Da plataforma Refinitiv</v>
    <v>14</v>
    <v>15</v>
    <v>Banco BTG Pactual S.A. (BVMF:BPAC5)</v>
    <v>12</v>
    <v>16</v>
    <v>Finance</v>
    <v>5</v>
    <v>9.68</v>
    <v>6.72</v>
    <v>BVMF</v>
    <v>10108690000</v>
    <v>9.08</v>
    <v>1979</v>
    <v>8.74</v>
    <v>1.3798999999999999</v>
    <v>B3 - Brazil Stock Exchange</v>
    <v>190654700000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9.1</v>
    <v>4900</v>
    <v>45821.958333333336</v>
    <v>453</v>
    <v>7373350</v>
    <v>BRL</v>
    <v>Banco BTG Pactual S.A.</v>
    <v>Banco BTG Pactual S.A.</v>
    <v>9.08</v>
    <v>8.8000000000000007</v>
    <v>Praia de Botafogo, 501, 5 e 6 andares, Botafogo, RIO DE JANEIRO, RIO DE JANEIRO, 22.250-040 BR</v>
    <v>Investment Banking &amp; Investment Services</v>
    <v>BPAC5</v>
    <v>Ações</v>
    <v>Banco BTG Pactual S.A. (BVMF:BPAC5)</v>
    <v>-0.3</v>
    <v>-3.2966999999999996E-2</v>
    <v>5100</v>
  </rv>
  <rv s="2">
    <v>454</v>
  </rv>
  <rv s="0">
    <v>https://www.bing.com/financeapi/forcetrigger?t=apmeyc&amp;q=BVMF%3aDIRR3&amp;form=skydnc</v>
    <v>Learn more on Bing</v>
  </rv>
  <rv s="7">
    <v>pt-BR</v>
    <v>apmeyc</v>
    <v>268435456</v>
    <v>1</v>
    <v>Da plataforma Refinitiv</v>
    <v>14</v>
    <v>15</v>
    <v>DIRECIONAL ENGENHARIA S.A. (BVMF:DIRR3)</v>
    <v>12</v>
    <v>16</v>
    <v>Finance</v>
    <v>5</v>
    <v>42.86</v>
    <v>21.83</v>
    <v>BVMF</v>
    <v>173500000</v>
    <v>40.520000000000003</v>
    <v>1981</v>
    <v>39.31</v>
    <v>1.006</v>
    <v>B3 - Brazil Stock Exchange</v>
    <v>6846310000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40.770000000000003</v>
    <v>745</v>
    <v>45821.958333333336</v>
    <v>456</v>
    <v>1685070</v>
    <v>BRL</v>
    <v>DIRECIONAL ENGENHARIA S.A.</v>
    <v>DIRECIONAL ENGENHARIA S.A.</v>
    <v>40.520000000000003</v>
    <v>39.46</v>
    <v>Rua dos Otoni, 177, Santa Efigenia, BELO HORIZONTE, MINAS GERAIS, 30.150-270 BR</v>
    <v>Real Estate Operations</v>
    <v>DIRR3</v>
    <v>Ações</v>
    <v>DIRECIONAL ENGENHARIA S.A. (BVMF:DIRR3)</v>
    <v>-1.31</v>
    <v>-3.2131E-2</v>
    <v>1306800</v>
  </rv>
  <rv s="2">
    <v>457</v>
  </rv>
  <rv s="0">
    <v>https://www.bing.com/financeapi/forcetrigger?t=apn177&amp;q=BVMF%3aMYPK3&amp;form=skydnc</v>
    <v>Learn more on Bing</v>
  </rv>
  <rv s="7">
    <v>pt-BR</v>
    <v>apn177</v>
    <v>268435456</v>
    <v>1</v>
    <v>Da plataforma Refinitiv</v>
    <v>14</v>
    <v>15</v>
    <v>IOCHPE-MAXION S.A. (BVMF:MYPK3)</v>
    <v>12</v>
    <v>16</v>
    <v>Finance</v>
    <v>5</v>
    <v>13.84</v>
    <v>9.6</v>
    <v>BVMF</v>
    <v>153719600</v>
    <v>13.26</v>
    <v>1940</v>
    <v>12.83</v>
    <v>0.39439999999999997</v>
    <v>B3 - Brazil Stock Exchange</v>
    <v>2013726760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13.26</v>
    <v>17000</v>
    <v>45821.958333333336</v>
    <v>459</v>
    <v>1053670</v>
    <v>BRL</v>
    <v>IOCHPE-MAXION S.A.</v>
    <v>IOCHPE-MAXION S.A.</v>
    <v>13.26</v>
    <v>13.1</v>
    <v>Rua Othon Barcellos, n 83, Itagacaba, CRUZEIRO, SAO PAULO, 12.730-900 BR</v>
    <v>Automobiles &amp; Auto Parts</v>
    <v>MYPK3</v>
    <v>Ações</v>
    <v>IOCHPE-MAXION S.A. (BVMF:MYPK3)</v>
    <v>-0.16</v>
    <v>-1.2065999999999999E-2</v>
    <v>843800</v>
  </rv>
  <rv s="2">
    <v>460</v>
  </rv>
  <rv s="0">
    <v>https://www.bing.com/financeapi/forcetrigger?t=bwukvh&amp;q=BVMF%3aRDOR3&amp;form=skydnc</v>
    <v>Learn more on Bing</v>
  </rv>
  <rv s="7">
    <v>pt-BR</v>
    <v>bwukvh</v>
    <v>268435456</v>
    <v>1</v>
    <v>Da plataforma Refinitiv</v>
    <v>14</v>
    <v>15</v>
    <v>Rede D'Or São Luiz S.A. (BVMF:RDOR3)</v>
    <v>12</v>
    <v>16</v>
    <v>Finance</v>
    <v>5</v>
    <v>38.270000000000003</v>
    <v>24.62</v>
    <v>BVMF</v>
    <v>2289292000</v>
    <v>35.39</v>
    <v>2003</v>
    <v>34.58</v>
    <v>1.522</v>
    <v>B3 - Brazil Stock Exchange</v>
    <v>80354149200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35.25</v>
    <v>71000</v>
    <v>45821.958333333336</v>
    <v>462</v>
    <v>6877270</v>
    <v>BRL</v>
    <v>Rede D'Or São Luiz S.A.</v>
    <v>Rede D'Or São Luiz S.A.</v>
    <v>34.68</v>
    <v>35.1</v>
    <v>Rua Francisco Marengo, n 1.312, Tatuape, SAO PAULO, SAO PAULO, 03.313-000 BR</v>
    <v>Healthcare Providers &amp; Services</v>
    <v>RDOR3</v>
    <v>Ações</v>
    <v>Rede D'Or São Luiz S.A. (BVMF:RDOR3)</v>
    <v>-0.15</v>
    <v>-4.2550000000000001E-3</v>
    <v>3941800</v>
  </rv>
  <rv s="2">
    <v>463</v>
  </rv>
  <rv s="0">
    <v>https://www.bing.com/financeapi/forcetrigger?t=apnkdm&amp;q=BVMF%3aVIVT3&amp;form=skydnc</v>
    <v>Learn more on Bing</v>
  </rv>
  <rv s="7">
    <v>pt-BR</v>
    <v>apnkdm</v>
    <v>268435456</v>
    <v>1</v>
    <v>Da plataforma Refinitiv</v>
    <v>14</v>
    <v>15</v>
    <v>TELEFÔNICA BRASIL S.A (BVMF:VIVT3)</v>
    <v>12</v>
    <v>16</v>
    <v>Finance</v>
    <v>5</v>
    <v>30.09</v>
    <v>20.45</v>
    <v>BVMF</v>
    <v>3261287000</v>
    <v>30.09</v>
    <v>1998</v>
    <v>29.32</v>
    <v>0.5857</v>
    <v>B3 - Brazil Stock Exchange</v>
    <v>97153739730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29.75</v>
    <v>33000</v>
    <v>45821.958333333336</v>
    <v>465</v>
    <v>9556060</v>
    <v>BRL</v>
    <v>TELEFÔNICA BRASIL S.A</v>
    <v>TELEFÔNICA BRASIL S.A</v>
    <v>29.38</v>
    <v>29.79</v>
    <v>Av Engenheiro Luis Carlos Berrini, 1376 32 andar, Cidade Moncoes, SAO PAULO, SAO PAULO, 04.571-936 BR</v>
    <v>Telecommunications Services</v>
    <v>VIVT3</v>
    <v>Ações</v>
    <v>TELEFÔNICA BRASIL S.A (BVMF:VIVT3)</v>
    <v>0.04</v>
    <v>1.3450000000000001E-3</v>
    <v>6073400</v>
  </rv>
  <rv s="2">
    <v>466</v>
  </rv>
  <rv s="0">
    <v>https://www.bing.com/financeapi/forcetrigger?t=bvgm3m&amp;q=BVMF%3aPGMN3&amp;form=skydnc</v>
    <v>Learn more on Bing</v>
  </rv>
  <rv s="7">
    <v>pt-BR</v>
    <v>bvgm3m</v>
    <v>268435456</v>
    <v>1</v>
    <v>Da plataforma Refinitiv</v>
    <v>14</v>
    <v>15</v>
    <v>Empreendimentos Pague Menos S.A. (BVMF:PGMN3)</v>
    <v>12</v>
    <v>16</v>
    <v>Finance</v>
    <v>5</v>
    <v>3.64</v>
    <v>1.98</v>
    <v>BVMF</v>
    <v>622672700</v>
    <v>3.42</v>
    <v>1981</v>
    <v>3.33</v>
    <v>1.3257000000000001</v>
    <v>B3 - Brazil Stock Exchange</v>
    <v>2079726818</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3.38</v>
    <v>25799</v>
    <v>45821.958333333336</v>
    <v>468</v>
    <v>810770</v>
    <v>BRL</v>
    <v>Empreendimentos Pague Menos S.A.</v>
    <v>Empreendimentos Pague Menos S.A.</v>
    <v>3.35</v>
    <v>3.34</v>
    <v>Rua Senador Pompeu, n 1520, Centro, FORTALEZA, CEARA, 60.025-002 BR</v>
    <v>Food &amp; Drug Retailing</v>
    <v>PGMN3</v>
    <v>Ações</v>
    <v>Empreendimentos Pague Menos S.A. (BVMF:PGMN3)</v>
    <v>-0.04</v>
    <v>-1.1834000000000001E-2</v>
    <v>612000</v>
  </rv>
  <rv s="2">
    <v>469</v>
  </rv>
  <rv s="0">
    <v>https://www.bing.com/financeapi/forcetrigger?t=bwfbr7&amp;q=BVMF%3aTFCO4&amp;form=skydnc</v>
    <v>Learn more on Bing</v>
  </rv>
  <rv s="7">
    <v>pt-BR</v>
    <v>bwfbr7</v>
    <v>268435456</v>
    <v>1</v>
    <v>Da plataforma Refinitiv</v>
    <v>14</v>
    <v>15</v>
    <v>Track &amp; Field Co S.A (BVMF:TFCO4)</v>
    <v>12</v>
    <v>16</v>
    <v>Finance</v>
    <v>5</v>
    <v>15.09</v>
    <v>8.2799999999999994</v>
    <v>BVMF</v>
    <v>65492860</v>
    <v>15.09</v>
    <v>1988</v>
    <v>14.88</v>
    <v>1.0879000000000001</v>
    <v>B3 - Brazil Stock Exchange</v>
    <v>981083042</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15.02</v>
    <v>1145</v>
    <v>45821.958333333336</v>
    <v>471</v>
    <v>467730</v>
    <v>BRL</v>
    <v>Track &amp; Field Co S.A</v>
    <v>Track &amp; Field Co S.A</v>
    <v>15</v>
    <v>14.98</v>
    <v>Rua Cipriano Barata 456 3 andar, Ipiranga, OSASCO, SAO PAULO, 04.205-000 BR</v>
    <v>Specialty Retailers</v>
    <v>TFCO4</v>
    <v>Ações</v>
    <v>Track &amp; Field Co S.A (BVMF:TFCO4)</v>
    <v>-0.04</v>
    <v>-2.663E-3</v>
    <v>303100</v>
  </rv>
  <rv s="2">
    <v>472</v>
  </rv>
  <rv s="0">
    <v>https://www.bing.com/financeapi/forcetrigger?t=apmhtc&amp;q=BVMF%3aENEV3&amp;form=skydnc</v>
    <v>Learn more on Bing</v>
  </rv>
  <rv s="14">
    <v>pt-BR</v>
    <v>apmhtc</v>
    <v>268435456</v>
    <v>1</v>
    <v>Da plataforma Refinitiv</v>
    <v>32</v>
    <v>33</v>
    <v>Eneva S.A. (BVMF:ENEV3)</v>
    <v>12</v>
    <v>34</v>
    <v>Finance</v>
    <v>35</v>
    <v>14.9</v>
    <v>9.35</v>
    <v>BVMF</v>
    <v>1932592000</v>
    <v>13.76</v>
    <v>2001</v>
    <v>13.5</v>
    <v>0.88849999999999996</v>
    <v>B3 - Brazil Stock Exchange</v>
    <v>26225273440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13.69</v>
    <v>1846</v>
    <v>45821.958333333336</v>
    <v>474</v>
    <v>16994590</v>
    <v>BRL</v>
    <v>Eneva S.A.</v>
    <v>Eneva S.A.</v>
    <v>13.59</v>
    <v>13.57</v>
    <v>13.69</v>
    <v>Praia de Botafogo n 501, Bloco I, 2 e 4 andares, Botafogo, BOTAFOGO, RIO DE JANEIRO, 22.250-040 BR</v>
    <v>Electrical Utilities &amp; IPPs</v>
    <v>ENEV3</v>
    <v>Ações</v>
    <v>Eneva S.A. (BVMF:ENEV3)</v>
    <v>-0.12</v>
    <v>-8.7660000000000012E-3</v>
    <v>6420700</v>
  </rv>
  <rv s="2">
    <v>475</v>
  </rv>
  <rv s="0">
    <v>https://www.bing.com/financeapi/forcetrigger?t=apmv52&amp;q=BVMF%3aLIGT3&amp;form=skydnc</v>
    <v>Learn more on Bing</v>
  </rv>
  <rv s="7">
    <v>pt-BR</v>
    <v>apmv52</v>
    <v>268435456</v>
    <v>1</v>
    <v>Da plataforma Refinitiv</v>
    <v>14</v>
    <v>15</v>
    <v>LIGHT S.A. (BVMF:LIGT3)</v>
    <v>12</v>
    <v>16</v>
    <v>Finance</v>
    <v>5</v>
    <v>9.2100000000000009</v>
    <v>3.6</v>
    <v>BVMF</v>
    <v>372555300</v>
    <v>7.17</v>
    <v>1999</v>
    <v>6.85</v>
    <v>2.1985999999999999</v>
    <v>B3 - Brazil Stock Exchange</v>
    <v>2615338206</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7.12</v>
    <v>5140</v>
    <v>45821.958333333336</v>
    <v>477</v>
    <v>1646870</v>
    <v>BRL</v>
    <v>LIGHT S.A.</v>
    <v>LIGHT S.A.</v>
    <v>7.12</v>
    <v>7.02</v>
    <v>Av.Marechal Floriano,168, Centro, RIO DE JANEIRO, RIO DE JANEIRO, 20.080-002 BR</v>
    <v>Electrical Utilities &amp; IPPs</v>
    <v>LIGT3</v>
    <v>Ações</v>
    <v>LIGHT S.A. (BVMF:LIGT3)</v>
    <v>-0.1</v>
    <v>-1.4045E-2</v>
    <v>463900</v>
  </rv>
  <rv s="2">
    <v>478</v>
  </rv>
  <rv s="0">
    <v>https://www.bing.com/financeapi/forcetrigger?t=bxgv1h&amp;q=BVMF%3aCSED3&amp;form=skydnc</v>
    <v>Learn more on Bing</v>
  </rv>
  <rv s="7">
    <v>pt-BR</v>
    <v>bxgv1h</v>
    <v>268435456</v>
    <v>1</v>
    <v>Da plataforma Refinitiv</v>
    <v>14</v>
    <v>15</v>
    <v>CRUZEIRO DO SUL EDUCACIONAL S.A. (BVMF:CSED3)</v>
    <v>12</v>
    <v>16</v>
    <v>Finance</v>
    <v>5</v>
    <v>5.44</v>
    <v>2.56</v>
    <v>BVMF</v>
    <v>364542500</v>
    <v>5.31</v>
    <v>1970</v>
    <v>5.19</v>
    <v>2.3496000000000001</v>
    <v>B3 - Brazil Stock Exchange</v>
    <v>1895621000</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5.32</v>
    <v>7668</v>
    <v>45821.958333333336</v>
    <v>480</v>
    <v>405050</v>
    <v>BRL</v>
    <v>CRUZEIRO DO SUL EDUCACIONAL S.A.</v>
    <v>CRUZEIRO DO SUL EDUCACIONAL S.A.</v>
    <v>5.23</v>
    <v>5.2</v>
    <v>Rua Cubatao, 320 3, 8 e 9 Andar, Vila Mariana, SAO PAULO, SAO PAULO, 04.013-001 BR</v>
    <v>School, College &amp; University</v>
    <v>CSED3</v>
    <v>Ações</v>
    <v>CRUZEIRO DO SUL EDUCACIONAL S.A. (BVMF:CSED3)</v>
    <v>-0.12</v>
    <v>-2.2556E-2</v>
    <v>197200</v>
  </rv>
  <rv s="2">
    <v>481</v>
  </rv>
  <rv s="0">
    <v>https://www.bing.com/financeapi/forcetrigger?t=apmzxm&amp;q=BVMF%3aMULT3&amp;form=skydnc</v>
    <v>Learn more on Bing</v>
  </rv>
  <rv s="7">
    <v>pt-BR</v>
    <v>apmzxm</v>
    <v>268435456</v>
    <v>1</v>
    <v>Da plataforma Refinitiv</v>
    <v>14</v>
    <v>15</v>
    <v>Multiplan Empreendimentos Imobiliários S.A. (BVMF:MULT3)</v>
    <v>12</v>
    <v>16</v>
    <v>Finance</v>
    <v>5</v>
    <v>27.39</v>
    <v>19.739999999999998</v>
    <v>BVMF</v>
    <v>513163700</v>
    <v>26.18</v>
    <v>2005</v>
    <v>25.66</v>
    <v>1.0023</v>
    <v>B3 - Brazil Stock Exchange</v>
    <v>13188307090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26.17</v>
    <v>8500</v>
    <v>45821.958333333336</v>
    <v>483</v>
    <v>3427320</v>
    <v>BRL</v>
    <v>Multiplan Empreendimentos Imobiliários S.A.</v>
    <v>Multiplan Empreendimentos Imobiliários S.A.</v>
    <v>26.16</v>
    <v>25.7</v>
    <v>Av Das Americas 04200 Bloco 2 Salas 101 A 104 112 A 116 401 A 416 E 501 E Bloco 9 Ala B Salas 212 A 216, Barra Da Tijuca, RIO DE JANEIRO, RIO DE JANEIRO, 22.640-102 BR</v>
    <v>Real Estate Operations</v>
    <v>MULT3</v>
    <v>Ações</v>
    <v>Multiplan Empreendimentos Imobiliários S.A. (BVMF:MULT3)</v>
    <v>-0.47</v>
    <v>-1.7958999999999999E-2</v>
    <v>3477500</v>
  </rv>
  <rv s="2">
    <v>484</v>
  </rv>
  <rv s="0">
    <v>https://www.bing.com/financeapi/forcetrigger?t=c5nr77&amp;q=BVMF%3aAURE3&amp;form=skydnc</v>
    <v>Learn more on Bing</v>
  </rv>
  <rv s="8">
    <v>pt-BR</v>
    <v>c5nr77</v>
    <v>268435456</v>
    <v>1</v>
    <v>Da plataforma Refinitiv</v>
    <v>17</v>
    <v>18</v>
    <v>Auren Energia S.A. (BVMF:AURE3)</v>
    <v>12</v>
    <v>19</v>
    <v>Finance</v>
    <v>5</v>
    <v>12.5</v>
    <v>7.29</v>
    <v>BVMF</v>
    <v>1050378000</v>
    <v>10.07</v>
    <v>2017</v>
    <v>9.76</v>
    <v>0.45300000000000001</v>
    <v>B3 - Brazil Stock Exchange</v>
    <v>10524787560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9.92</v>
    <v>45821.958333333336</v>
    <v>486</v>
    <v>4184730</v>
    <v>BRL</v>
    <v>Auren Energia S.A.</v>
    <v>Auren Energia S.A.</v>
    <v>9.8800000000000008</v>
    <v>10.02</v>
    <v>Av. dra Ruth Cardoso, 8.501 2 andar, sala 11, Pinheiros, SAO PAULO, SAO PAULO, 05.425-070 BR</v>
    <v>Electrical Utilities &amp; IPPs</v>
    <v>AURE3</v>
    <v>Ações</v>
    <v>Auren Energia S.A. (BVMF:AURE3)</v>
    <v>0.1</v>
    <v>1.0081E-2</v>
    <v>2905500</v>
  </rv>
  <rv s="2">
    <v>487</v>
  </rv>
  <rv s="0">
    <v>https://www.bing.com/financeapi/forcetrigger?t=apni6h&amp;q=BVMF%3aTUPY3&amp;form=skydnc</v>
    <v>Learn more on Bing</v>
  </rv>
  <rv s="7">
    <v>pt-BR</v>
    <v>apni6h</v>
    <v>268435456</v>
    <v>1</v>
    <v>Da plataforma Refinitiv</v>
    <v>14</v>
    <v>15</v>
    <v>TUPY S.A. (BVMF:TUPY3)</v>
    <v>12</v>
    <v>16</v>
    <v>Finance</v>
    <v>5</v>
    <v>26.74</v>
    <v>16.989999999999998</v>
    <v>BVMF</v>
    <v>144177500</v>
    <v>19.100000000000001</v>
    <v>1938</v>
    <v>18.579999999999998</v>
    <v>0.50580000000000003</v>
    <v>B3 - Brazil Stock Exchange</v>
    <v>2750906699</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18.920000000000002</v>
    <v>6451</v>
    <v>45821.958333333336</v>
    <v>489</v>
    <v>401860</v>
    <v>BRL</v>
    <v>TUPY S.A.</v>
    <v>TUPY S.A.</v>
    <v>18.95</v>
    <v>19.079999999999998</v>
    <v>Rua Albano Schmidt, 3400, Boa Vista, JOINVILLE, SANTA CATARINA, 89.227-901 BR</v>
    <v>Automobiles &amp; Auto Parts</v>
    <v>TUPY3</v>
    <v>Ações</v>
    <v>TUPY S.A. (BVMF:TUPY3)</v>
    <v>0.16</v>
    <v>8.4569999999999992E-3</v>
    <v>416700</v>
  </rv>
  <rv s="2">
    <v>490</v>
  </rv>
  <rv s="0">
    <v>https://www.bing.com/financeapi/forcetrigger?t=apnbh7&amp;q=BVMF%3aSCAR3&amp;form=skydnc</v>
    <v>Learn more on Bing</v>
  </rv>
  <rv s="8">
    <v>pt-BR</v>
    <v>apnbh7</v>
    <v>268435456</v>
    <v>1</v>
    <v>Da plataforma Refinitiv</v>
    <v>17</v>
    <v>18</v>
    <v>São Carlos Empreendimentos e Participações S.A. (BVMF:SCAR3)</v>
    <v>12</v>
    <v>19</v>
    <v>Finance</v>
    <v>5</v>
    <v>22.91</v>
    <v>15.32</v>
    <v>BVMF</v>
    <v>57737320</v>
    <v>17.079999999999998</v>
    <v>1985</v>
    <v>16.920000000000002</v>
    <v>0.95809999999999995</v>
    <v>B3 - Brazil Stock Exchange</v>
    <v>980957066</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16.95</v>
    <v>45821.958333333336</v>
    <v>492</v>
    <v>22910</v>
    <v>BRL</v>
    <v>São Carlos Empreendimentos e Participações S.A.</v>
    <v>São Carlos Empreendimentos e Participações S.A.</v>
    <v>17.079999999999998</v>
    <v>16.989999999999998</v>
    <v>Rua Dr. Eduardo de Souza Aranha, 153, 12 andar, Vila Nova Conceicao, SAO PAULO, SAO PAULO, 04.543-904 BR</v>
    <v>Real Estate Operations</v>
    <v>SCAR3</v>
    <v>Ações</v>
    <v>São Carlos Empreendimentos e Participações S.A. (BVMF:SCAR3)</v>
    <v>0.04</v>
    <v>2.3599999999999997E-3</v>
    <v>5400</v>
  </rv>
  <rv s="2">
    <v>493</v>
  </rv>
  <rv s="0">
    <v>https://www.bing.com/financeapi/forcetrigger?t=btow3m&amp;q=BVMF%3aLWSA3&amp;form=skydnc</v>
    <v>Learn more on Bing</v>
  </rv>
  <rv s="7">
    <v>pt-BR</v>
    <v>btow3m</v>
    <v>268435456</v>
    <v>1</v>
    <v>Da plataforma Refinitiv</v>
    <v>14</v>
    <v>15</v>
    <v>LWSA S/A (BVMF:LWSA3)</v>
    <v>12</v>
    <v>16</v>
    <v>Finance</v>
    <v>5</v>
    <v>5.26</v>
    <v>2.4700000000000002</v>
    <v>BVMF</v>
    <v>562886500</v>
    <v>4.1399999999999997</v>
    <v>1997</v>
    <v>3.98</v>
    <v>1.169</v>
    <v>B3 - Brazil Stock Exchange</v>
    <v>2296576920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4.13</v>
    <v>1229</v>
    <v>45821.958333333336</v>
    <v>495</v>
    <v>8449550</v>
    <v>BRL</v>
    <v>LWSA S/A</v>
    <v>LWSA S/A</v>
    <v>4.08</v>
    <v>4.08</v>
    <v>Rua Itapaiuna, 2.434, Vila Andrade, SAO PAULO, SAO PAULO, 05.707-001 BR</v>
    <v>Software &amp; IT Services</v>
    <v>LWSA3</v>
    <v>Ações</v>
    <v>LWSA S/A (BVMF:LWSA3)</v>
    <v>-0.05</v>
    <v>-1.2107000000000001E-2</v>
    <v>4835500</v>
  </rv>
  <rv s="2">
    <v>496</v>
  </rv>
  <rv s="0">
    <v>https://www.bing.com/financeapi/forcetrigger?t=apmvur&amp;q=BVMF%3aLPSB3&amp;form=skydnc</v>
    <v>Learn more on Bing</v>
  </rv>
  <rv s="7">
    <v>pt-BR</v>
    <v>apmvur</v>
    <v>268435456</v>
    <v>1</v>
    <v>Da plataforma Refinitiv</v>
    <v>14</v>
    <v>15</v>
    <v>LPS BRASIL - CONSULTORIA DE IMOVEIS S.A. (BVMF:LPSB3)</v>
    <v>12</v>
    <v>16</v>
    <v>Finance</v>
    <v>5</v>
    <v>2.2000000000000002</v>
    <v>1.04</v>
    <v>BVMF</v>
    <v>147554600</v>
    <v>1.71</v>
    <v>2006</v>
    <v>1.63</v>
    <v>1.2798</v>
    <v>B3 - Brazil Stock Exchange</v>
    <v>243465090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1.68</v>
    <v>336</v>
    <v>45821.958333333336</v>
    <v>498</v>
    <v>56560</v>
    <v>BRL</v>
    <v>LPS BRASIL - CONSULTORIA DE IMOVEIS S.A.</v>
    <v>LPS BRASIL - CONSULTORIA DE IMOVEIS S.A.</v>
    <v>1.68</v>
    <v>1.65</v>
    <v>Rua Estados Unidos,2000, Jardim America, SAO PAULO, SAO PAULO, 01.427-002 BR</v>
    <v>Real Estate Operations</v>
    <v>LPSB3</v>
    <v>Ações</v>
    <v>LPS BRASIL - CONSULTORIA DE IMOVEIS S.A. (BVMF:LPSB3)</v>
    <v>-0.03</v>
    <v>-1.7857000000000001E-2</v>
    <v>85800</v>
  </rv>
  <rv s="2">
    <v>499</v>
  </rv>
  <rv s="0">
    <v>https://www.bing.com/financeapi/forcetrigger?t=btotsm&amp;q=BVMF%3aMTRE3&amp;form=skydnc</v>
    <v>Learn more on Bing</v>
  </rv>
  <rv s="7">
    <v>pt-BR</v>
    <v>btotsm</v>
    <v>268435456</v>
    <v>1</v>
    <v>Da plataforma Refinitiv</v>
    <v>14</v>
    <v>15</v>
    <v>MITRE REALTY EMPREENDIMENTOS E PARTICIPAÇÕES S.A. (BVMF:MTRE3)</v>
    <v>12</v>
    <v>16</v>
    <v>Finance</v>
    <v>5</v>
    <v>4.37</v>
    <v>2.64</v>
    <v>BVMF</v>
    <v>105774800</v>
    <v>4.03</v>
    <v>2005</v>
    <v>3.94</v>
    <v>2.0097</v>
    <v>B3 - Brazil Stock Exchange</v>
    <v>422041452</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4.03</v>
    <v>159</v>
    <v>45821.958333333336</v>
    <v>501</v>
    <v>523300</v>
    <v>BRL</v>
    <v>MITRE REALTY EMPREENDIMENTOS E PARTICIPAÇÕES S.A.</v>
    <v>MITRE REALTY EMPREENDIMENTOS E PARTICIPAÇÕES S.A.</v>
    <v>3.98</v>
    <v>3.99</v>
    <v>Alameda Santos, 700, 5 Andar, Jardim Paulista, SAO PAULO, SAO PAULO, 01.418-002 BR</v>
    <v>Homebuilding &amp; Construction Supplies</v>
    <v>MTRE3</v>
    <v>Ações</v>
    <v>MITRE REALTY EMPREENDIMENTOS E PARTICIPAÇÕES S.A. (BVMF:MTRE3)</v>
    <v>-0.04</v>
    <v>-9.9260000000000008E-3</v>
    <v>278500</v>
  </rv>
  <rv s="2">
    <v>502</v>
  </rv>
  <rv s="0">
    <v>http://zh.wikipedia.org/wiki/巴西航空工业公司</v>
    <v>Wikipedia</v>
  </rv>
  <rv s="9">
    <v>35</v>
    <v>504</v>
  </rv>
  <rv s="10">
    <v>25</v>
    <v>https://www.bing.com/th?id=AMMS_93adec0d103d6c960720b15dfec63061&amp;qlt=95</v>
    <v>505</v>
    <v>0</v>
    <v>https://www.bing.com/images/search?form=xlimg&amp;q=embraer</v>
    <v>Image of EMBRAER S.A.</v>
  </rv>
  <rv s="0">
    <v>https://www.bing.com/financeapi/forcetrigger?t=apmhnm&amp;q=BVMF%3aEMBR3&amp;form=skydnc</v>
    <v>Learn more on Bing</v>
  </rv>
  <rv s="11">
    <v>pt-BR</v>
    <v>apmhnm</v>
    <v>268435456</v>
    <v>1</v>
    <v>Da plataforma Refinitiv</v>
    <v>20</v>
    <v>21</v>
    <v>EMBRAER S.A. (BVMF:EMBR3)</v>
    <v>23</v>
    <v>24</v>
    <v>Finance</v>
    <v>5</v>
    <v>79.75</v>
    <v>35.22</v>
    <v>BVMF</v>
    <v>740465000</v>
    <v>69.099999999999994</v>
    <v>2005</v>
    <v>66.400000000000006</v>
    <v>0.4753</v>
    <v>B3 - Brazil Stock Exchange</v>
    <v>49196494600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68.86</v>
    <v>20923</v>
    <v>45821.958333333336</v>
    <v>506</v>
    <v>507</v>
    <v>4189220</v>
    <v>BRL</v>
    <v>EMBRAER S.A.</v>
    <v>EMBRAER S.A.</v>
    <v>67.95</v>
    <v>66.44</v>
    <v>Av Brigadeiro Faria Lima 2170, Putim, SAO JOSE DOS CAMPOS, SAO PAULO, 12.227-901 BR</v>
    <v>Aerospace &amp; Defense</v>
    <v>EMBR3</v>
    <v>Ações</v>
    <v>EMBRAER S.A. (BVMF:EMBR3)</v>
    <v>-2.42</v>
    <v>-3.5144000000000002E-2</v>
    <v>5815400</v>
  </rv>
  <rv s="2">
    <v>508</v>
  </rv>
  <rv s="0">
    <v>https://www.bing.com/financeapi/forcetrigger?t=apmi2w&amp;q=BVMF%3aENGI4&amp;form=skydnc</v>
    <v>Learn more on Bing</v>
  </rv>
  <rv s="7">
    <v>pt-BR</v>
    <v>apmi2w</v>
    <v>268435456</v>
    <v>1</v>
    <v>Da plataforma Refinitiv</v>
    <v>14</v>
    <v>15</v>
    <v>ENERGISA S.A. (BVMF:ENGI4)</v>
    <v>12</v>
    <v>16</v>
    <v>Finance</v>
    <v>5</v>
    <v>9.07</v>
    <v>5.97</v>
    <v>BVMF</v>
    <v>2289425000</v>
    <v>8.74</v>
    <v>1998</v>
    <v>8.4</v>
    <v>0.96179999999999999</v>
    <v>B3 - Brazil Stock Exchange</v>
    <v>22770910000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8.52</v>
    <v>17000</v>
    <v>45821.958333333336</v>
    <v>510</v>
    <v>5630</v>
    <v>BRL</v>
    <v>ENERGISA S.A.</v>
    <v>ENERGISA S.A.</v>
    <v>8.43</v>
    <v>8.52</v>
    <v>Praca Rui Barbosa,N 80(Parte), Centro, CATAGUASES, MINAS GERAIS, 36.770-901 BR</v>
    <v>Electrical Utilities &amp; IPPs</v>
    <v>ENGI4</v>
    <v>Ações</v>
    <v>ENERGISA S.A. (BVMF:ENGI4)</v>
    <v>0</v>
    <v>0</v>
    <v>5100</v>
  </rv>
  <rv s="2">
    <v>511</v>
  </rv>
  <rv s="0">
    <v>https://www.bing.com/financeapi/forcetrigger?t=aplwhw&amp;q=BVMF%3aANIM3&amp;form=skydnc</v>
    <v>Learn more on Bing</v>
  </rv>
  <rv s="7">
    <v>pt-BR</v>
    <v>aplwhw</v>
    <v>268435456</v>
    <v>1</v>
    <v>Da plataforma Refinitiv</v>
    <v>14</v>
    <v>15</v>
    <v>Ânima Holding S/A (BVMF:ANIM3)</v>
    <v>12</v>
    <v>16</v>
    <v>Finance</v>
    <v>5</v>
    <v>4.5</v>
    <v>1.46</v>
    <v>BVMF</v>
    <v>403868800</v>
    <v>4.09</v>
    <v>2007</v>
    <v>3.96</v>
    <v>2.8243999999999998</v>
    <v>B3 - Brazil Stock Exchange</v>
    <v>1627591264</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4.09</v>
    <v>4046</v>
    <v>45821.958333333336</v>
    <v>513</v>
    <v>8012620</v>
    <v>BRL</v>
    <v>Ânima Holding S/A</v>
    <v>Ânima Holding S/A</v>
    <v>4.04</v>
    <v>4.03</v>
    <v>Rua Harmonia, 1250 9 andar, Sumarezinho, SAO PAULO, SAO PAULO, 05.435-001 BR</v>
    <v>Miscellaneous Educational Service Providers</v>
    <v>ANIM3</v>
    <v>Ações</v>
    <v>Ânima Holding S/A (BVMF:ANIM3)</v>
    <v>-0.06</v>
    <v>-1.4670000000000001E-2</v>
    <v>4228700</v>
  </rv>
  <rv s="2">
    <v>514</v>
  </rv>
  <rv s="0">
    <v>https://www.bing.com/financeapi/forcetrigger?t=apn6hw&amp;q=BVMF%3aPRIO3&amp;form=skydnc</v>
    <v>Learn more on Bing</v>
  </rv>
  <rv s="7">
    <v>pt-BR</v>
    <v>apn6hw</v>
    <v>268435456</v>
    <v>1</v>
    <v>Da plataforma Refinitiv</v>
    <v>14</v>
    <v>15</v>
    <v>PRIO S.A. (BVMF:PRIO3)</v>
    <v>12</v>
    <v>16</v>
    <v>Finance</v>
    <v>5</v>
    <v>50.12</v>
    <v>32.68</v>
    <v>BVMF</v>
    <v>896346200</v>
    <v>45.65</v>
    <v>2008</v>
    <v>43.34</v>
    <v>1.2815000000000001</v>
    <v>B3 - Brazil Stock Exchange</v>
    <v>39421305876</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43.22</v>
    <v>90</v>
    <v>45821.958333333336</v>
    <v>516</v>
    <v>10628880</v>
    <v>BRL</v>
    <v>PRIO S.A.</v>
    <v>PRIO S.A.</v>
    <v>45.65</v>
    <v>43.98</v>
    <v>Pr De Botafogo 370 : 1 Andar Parte;, Botafogo, RIO DE JANEIRO, RIO DE JANEIRO, 22.250-040 BR</v>
    <v>Oil &amp; Gas</v>
    <v>PRIO3</v>
    <v>Ações</v>
    <v>PRIO S.A. (BVMF:PRIO3)</v>
    <v>0.76</v>
    <v>1.7583999999999999E-2</v>
    <v>17194200</v>
  </rv>
  <rv s="2">
    <v>517</v>
  </rv>
  <rv s="0">
    <v>https://www.bing.com/financeapi/forcetrigger?t=apn2c7&amp;q=BVMF%3aODPV3&amp;form=skydnc</v>
    <v>Learn more on Bing</v>
  </rv>
  <rv s="7">
    <v>pt-BR</v>
    <v>apn2c7</v>
    <v>268435456</v>
    <v>1</v>
    <v>Da plataforma Refinitiv</v>
    <v>14</v>
    <v>15</v>
    <v>ODONTOPREV S.A. (BVMF:ODPV3)</v>
    <v>12</v>
    <v>16</v>
    <v>Finance</v>
    <v>5</v>
    <v>11.73</v>
    <v>9.5299999999999994</v>
    <v>BVMF</v>
    <v>552495700</v>
    <v>10.92</v>
    <v>1987</v>
    <v>10.75</v>
    <v>0.49840000000000001</v>
    <v>B3 - Brazil Stock Exchange</v>
    <v>5994578345</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10.89</v>
    <v>2026</v>
    <v>45821.958333333336</v>
    <v>519</v>
    <v>2112700</v>
    <v>BRL</v>
    <v>ODONTOPREV S.A.</v>
    <v>ODONTOPREV S.A.</v>
    <v>10.92</v>
    <v>10.85</v>
    <v>Alameda Araguaia, 2104 - 21 Andar, Alphaville, BARUERI, SAO PAULO, 06.460-040 BR</v>
    <v>Healthcare Providers &amp; Services</v>
    <v>ODPV3</v>
    <v>Ações</v>
    <v>ODONTOPREV S.A. (BVMF:ODPV3)</v>
    <v>-0.04</v>
    <v>-3.673E-3</v>
    <v>1453200</v>
  </rv>
  <rv s="2">
    <v>520</v>
  </rv>
  <rv s="0">
    <v>https://www.bing.com/financeapi/forcetrigger?t=c1w2k2&amp;q=BVMF%3aRECV3&amp;form=skydnc</v>
    <v>Learn more on Bing</v>
  </rv>
  <rv s="7">
    <v>pt-BR</v>
    <v>c1w2k2</v>
    <v>268435456</v>
    <v>1</v>
    <v>Da plataforma Refinitiv</v>
    <v>14</v>
    <v>15</v>
    <v>PetroRecôncavo S.A. (BVMF:RECV3)</v>
    <v>12</v>
    <v>16</v>
    <v>Finance</v>
    <v>5</v>
    <v>19.47</v>
    <v>11.88</v>
    <v>BVMF</v>
    <v>293472100</v>
    <v>15.85</v>
    <v>2000</v>
    <v>15.36</v>
    <v>0.83850000000000002</v>
    <v>B3 - Brazil Stock Exchange</v>
    <v>4566425876</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15.15</v>
    <v>532</v>
    <v>45821.958333333336</v>
    <v>522</v>
    <v>2697910</v>
    <v>BRL</v>
    <v>PetroRecôncavo S.A.</v>
    <v>PetroRecôncavo S.A.</v>
    <v>15.8</v>
    <v>15.56</v>
    <v>Est Do Vinte Mil Km 3,5 Estacao De Sao Roque, Mata De Sao Joao, MATA DE SAO JOAO, BAHIA, 48.280-000 BR</v>
    <v>Oil &amp; Gas</v>
    <v>RECV3</v>
    <v>Ações</v>
    <v>PetroRecôncavo S.A. (BVMF:RECV3)</v>
    <v>0.41</v>
    <v>2.7063E-2</v>
    <v>4501000</v>
  </rv>
  <rv s="2">
    <v>523</v>
  </rv>
  <rv s="0">
    <v>https://www.bing.com/financeapi/forcetrigger?t=btrmim&amp;q=BVMF%3aMDNE3&amp;form=skydnc</v>
    <v>Learn more on Bing</v>
  </rv>
  <rv s="7">
    <v>pt-BR</v>
    <v>btrmim</v>
    <v>268435456</v>
    <v>1</v>
    <v>Da plataforma Refinitiv</v>
    <v>14</v>
    <v>15</v>
    <v>Moura Dubeux Engenharia S/A (BVMF:MDNE3)</v>
    <v>12</v>
    <v>16</v>
    <v>Finance</v>
    <v>5</v>
    <v>23.85</v>
    <v>9.34</v>
    <v>BVMF</v>
    <v>84909370</v>
    <v>23.09</v>
    <v>1987</v>
    <v>22.31</v>
    <v>1.8681000000000001</v>
    <v>B3 - Brazil Stock Exchange</v>
    <v>1927442699</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22.85</v>
    <v>1388</v>
    <v>45821.958333333336</v>
    <v>525</v>
    <v>817250</v>
    <v>BRL</v>
    <v>Moura Dubeux Engenharia S/A</v>
    <v>Moura Dubeux Engenharia S/A</v>
    <v>22.67</v>
    <v>22.7</v>
    <v>Av Engenheiro Domingos Ferreira 467 13 Andar Parte, Pina, RECIFE, PERNAMBUCO, 51.011-050 BR</v>
    <v>Real Estate Operations</v>
    <v>MDNE3</v>
    <v>Ações</v>
    <v>Moura Dubeux Engenharia S/A (BVMF:MDNE3)</v>
    <v>-0.15</v>
    <v>-6.5649999999999997E-3</v>
    <v>1135500</v>
  </rv>
  <rv s="2">
    <v>526</v>
  </rv>
  <rv s="0">
    <v>https://www.bing.com/financeapi/forcetrigger?t=apn94c&amp;q=BVMF%3aRCSL4&amp;form=skydnc</v>
    <v>Learn more on Bing</v>
  </rv>
  <rv s="7">
    <v>pt-BR</v>
    <v>apn94c</v>
    <v>268435456</v>
    <v>1</v>
    <v>Da plataforma Refinitiv</v>
    <v>14</v>
    <v>15</v>
    <v>RECRUSUL S.A. (BVMF:RCSL4)</v>
    <v>12</v>
    <v>16</v>
    <v>Finance</v>
    <v>5</v>
    <v>2.33</v>
    <v>0.64</v>
    <v>BVMF</v>
    <v>31822290</v>
    <v>1.02</v>
    <v>1954</v>
    <v>0.97</v>
    <v>1.3673999999999999</v>
    <v>B3 - Brazil Stock Exchange</v>
    <v>49096080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1.01</v>
    <v>106</v>
    <v>45821.958333333336</v>
    <v>528</v>
    <v>1766460</v>
    <v>BRL</v>
    <v>RECRUSUL S.A.</v>
    <v>RECRUSUL S.A.</v>
    <v>1.01</v>
    <v>0.98</v>
    <v>Av. Luiz Pasteur, 1020, Tres Portos, SAPUCAIA DO SUL, RIO GRANDE DO SUL, 93.212-360 BR</v>
    <v>Automobiles &amp; Auto Parts</v>
    <v>RCSL4</v>
    <v>Ações</v>
    <v>RECRUSUL S.A. (BVMF:RCSL4)</v>
    <v>-0.03</v>
    <v>-2.9703E-2</v>
    <v>1009800</v>
  </rv>
  <rv s="2">
    <v>529</v>
  </rv>
  <rv s="0">
    <v>https://www.bing.com/financeapi/forcetrigger?t=apnhfr&amp;q=BVMF%3aTPIS3&amp;form=skydnc</v>
    <v>Learn more on Bing</v>
  </rv>
  <rv s="7">
    <v>pt-BR</v>
    <v>apnhfr</v>
    <v>268435456</v>
    <v>1</v>
    <v>Da plataforma Refinitiv</v>
    <v>14</v>
    <v>15</v>
    <v>TPI - Triunfo Participações e Investimentos S.A. (BVMF:TPIS3)</v>
    <v>12</v>
    <v>16</v>
    <v>Finance</v>
    <v>5</v>
    <v>7.1</v>
    <v>3.45</v>
    <v>BVMF</v>
    <v>44000000</v>
    <v>4.0199999999999996</v>
    <v>1999</v>
    <v>3.99</v>
    <v>1.7919</v>
    <v>B3 - Brazil Stock Exchange</v>
    <v>176000000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v>
    <v>3380</v>
    <v>45821.958333333336</v>
    <v>531</v>
    <v>6960</v>
    <v>BRL</v>
    <v>TPI - Triunfo Participações e Investimentos S.A.</v>
    <v>TPI - Triunfo Participações e Investimentos S.A.</v>
    <v>4</v>
    <v>4</v>
    <v>Rua Olimpiadas, 205,14 andar, Vila Olimpia, SAO PAULO, SAO PAULO, 04.551-000 BR</v>
    <v>Transport Infrastructure</v>
    <v>TPIS3</v>
    <v>Ações</v>
    <v>TPI - Triunfo Participações e Investimentos S.A. (BVMF:TPIS3)</v>
    <v>0</v>
    <v>0</v>
    <v>15200</v>
  </rv>
  <rv s="2">
    <v>532</v>
  </rv>
  <rv s="0">
    <v>https://www.bing.com/financeapi/forcetrigger?t=apml6h&amp;q=BVMF%3aTASA4&amp;form=skydnc</v>
    <v>Learn more on Bing</v>
  </rv>
  <rv s="7">
    <v>pt-BR</v>
    <v>apml6h</v>
    <v>268435456</v>
    <v>1</v>
    <v>Da plataforma Refinitiv</v>
    <v>14</v>
    <v>15</v>
    <v>Taurus Armas S.A (BVMF:TASA4)</v>
    <v>12</v>
    <v>16</v>
    <v>Finance</v>
    <v>5</v>
    <v>11.36</v>
    <v>6.93</v>
    <v>BVMF</v>
    <v>139297900</v>
    <v>7.24</v>
    <v>1939</v>
    <v>7.16</v>
    <v>1.0914999999999999</v>
    <v>B3 - Brazil Stock Exchange</v>
    <v>1027608000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7.19</v>
    <v>3286</v>
    <v>45821.958333333336</v>
    <v>534</v>
    <v>220690</v>
    <v>BRL</v>
    <v>Taurus Armas S.A</v>
    <v>Taurus Armas S.A</v>
    <v>7.2</v>
    <v>7.18</v>
    <v>Avenida Sao Borja 2181/Predio A, Fazenda Sao Borja, SAO LEOPOLDO, RIO GRANDE DO SUL, 93.035-411 BR</v>
    <v>Aerospace &amp; Defense</v>
    <v>TASA4</v>
    <v>Ações</v>
    <v>Taurus Armas S.A (BVMF:TASA4)</v>
    <v>-0.01</v>
    <v>-1.3910000000000001E-3</v>
    <v>196200</v>
  </rv>
  <rv s="2">
    <v>535</v>
  </rv>
  <rv s="0">
    <v>https://www.bing.com/financeapi/forcetrigger?t=apnd4c&amp;q=BVMF%3aSNSY5&amp;form=skydnc</v>
    <v>Learn more on Bing</v>
  </rv>
  <rv s="7">
    <v>pt-BR</v>
    <v>apnd4c</v>
    <v>268435456</v>
    <v>1</v>
    <v>Da plataforma Refinitiv</v>
    <v>14</v>
    <v>15</v>
    <v>Sansuy S/A Indústria de Plásticos em Recuperação Judicial (BVMF:SNSY5)</v>
    <v>12</v>
    <v>16</v>
    <v>Finance</v>
    <v>5</v>
    <v>6.29</v>
    <v>3.3</v>
    <v>BVMF</v>
    <v>7716400</v>
    <v>4.34</v>
    <v>1979</v>
    <v>4.2300000000000004</v>
    <v>0.85770000000000002</v>
    <v>B3 - Brazil Stock Exchange</v>
    <v>50557740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4.26</v>
    <v>1460</v>
    <v>45820.947916666664</v>
    <v>537</v>
    <v>1660</v>
    <v>BRL</v>
    <v>Sansuy S/A Indústria de Plásticos em Recuperação Judicial</v>
    <v>Sansuy S/A Indústria de Plásticos em Recuperação Judicial</v>
    <v>4.2300000000000004</v>
    <v>4.34</v>
    <v>Rua dos Plasticos, 761, Area Indl. Leste, CAMACARI, BAHIA, 42.810-240 BR</v>
    <v>Chemicals</v>
    <v>SNSY5</v>
    <v>Ações</v>
    <v>Sansuy S/A Indústria de Plásticos em Recuperação Judicial (BVMF:SNSY5)</v>
    <v>0.08</v>
    <v>1.8779000000000001E-2</v>
    <v>1500</v>
  </rv>
  <rv s="2">
    <v>538</v>
  </rv>
  <rv s="0">
    <v>https://www.bing.com/financeapi/forcetrigger?t=bvjsa2&amp;q=BVMF%3aLAVV3&amp;form=skydnc</v>
    <v>Learn more on Bing</v>
  </rv>
  <rv s="7">
    <v>pt-BR</v>
    <v>bvjsa2</v>
    <v>268435456</v>
    <v>1</v>
    <v>Da plataforma Refinitiv</v>
    <v>14</v>
    <v>15</v>
    <v>Lavvi Empreendimentos Imobiliários S/A (BVMF:LAVV3)</v>
    <v>12</v>
    <v>16</v>
    <v>Finance</v>
    <v>5</v>
    <v>12.13</v>
    <v>6.62</v>
    <v>BVMF</v>
    <v>195434400</v>
    <v>11.91</v>
    <v>2016</v>
    <v>11.73</v>
    <v>1.1639999999999999</v>
    <v>B3 - Brazil Stock Exchange</v>
    <v>2313943296</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11.9</v>
    <v>16</v>
    <v>45821.958333333336</v>
    <v>540</v>
    <v>617700</v>
    <v>BRL</v>
    <v>Lavvi Empreendimentos Imobiliários S/A</v>
    <v>Lavvi Empreendimentos Imobiliários S/A</v>
    <v>11.9</v>
    <v>11.84</v>
    <v>Avenida Angelica, 2346 8 andar CJ 84, Bairro Consolacao, Sao Paulo, SAO PAULO, 01.228-200 BR</v>
    <v>Real Estate Operations</v>
    <v>LAVV3</v>
    <v>Ações</v>
    <v>Lavvi Empreendimentos Imobiliários S/A (BVMF:LAVV3)</v>
    <v>-0.06</v>
    <v>-5.0419999999999996E-3</v>
    <v>326400</v>
  </rv>
  <rv s="2">
    <v>541</v>
  </rv>
  <rv s="0">
    <v>https://www.bing.com/financeapi/forcetrigger?t=aplvcw&amp;q=BVMF%3aALPA3&amp;form=skydnc</v>
    <v>Learn more on Bing</v>
  </rv>
  <rv s="7">
    <v>pt-BR</v>
    <v>aplvcw</v>
    <v>268435456</v>
    <v>1</v>
    <v>Da plataforma Refinitiv</v>
    <v>14</v>
    <v>15</v>
    <v>ALPARGATAS S.A. (BVMF:ALPA3)</v>
    <v>12</v>
    <v>16</v>
    <v>Finance</v>
    <v>5</v>
    <v>9.91</v>
    <v>5.61</v>
    <v>BVMF</v>
    <v>683062200</v>
    <v>9.19</v>
    <v>1907</v>
    <v>8.92</v>
    <v>0.95469999999999999</v>
    <v>B3 - Brazil Stock Exchange</v>
    <v>6100150000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8.83</v>
    <v>17000</v>
    <v>45821.958333333336</v>
    <v>543</v>
    <v>2158560</v>
    <v>BRL</v>
    <v>ALPARGATAS S.A.</v>
    <v>ALPARGATAS S.A.</v>
    <v>8.92</v>
    <v>9.18</v>
    <v>Av. das Nacoes Unidas, 14.261, Vila Gertrudes, SAO PAULO, SAO PAULO, 04.794-000 BR</v>
    <v>Textiles &amp; Apparel</v>
    <v>ALPA3</v>
    <v>Ações</v>
    <v>ALPARGATAS S.A. (BVMF:ALPA3)</v>
    <v>0.35</v>
    <v>3.9638E-2</v>
    <v>148500</v>
  </rv>
  <rv s="2">
    <v>544</v>
  </rv>
  <rv s="0">
    <v>https://www.bing.com/financeapi/forcetrigger?t=c2vjhw&amp;q=BVMF%3aLVTC3&amp;form=skydnc</v>
    <v>Learn more on Bing</v>
  </rv>
  <rv s="8">
    <v>pt-BR</v>
    <v>c2vjhw</v>
    <v>268435456</v>
    <v>1</v>
    <v>Da plataforma Refinitiv</v>
    <v>17</v>
    <v>18</v>
    <v>Livetech da Bahia Indústria e Comércio S.A. (BVMF:LVTC3)</v>
    <v>12</v>
    <v>19</v>
    <v>Finance</v>
    <v>5</v>
    <v>4.0199999999999996</v>
    <v>2.0099999999999998</v>
    <v>BVMF</v>
    <v>63461460</v>
    <v>3.86</v>
    <v>2003</v>
    <v>3.57</v>
    <v>1.5438000000000001</v>
    <v>B3 - Brazil Stock Exchange</v>
    <v>244961235</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3.7</v>
    <v>45821.958333333336</v>
    <v>546</v>
    <v>297480</v>
    <v>BRL</v>
    <v>Livetech da Bahia Indústria e Comércio S.A.</v>
    <v>Livetech da Bahia Indústria e Comércio S.A.</v>
    <v>3.57</v>
    <v>3.86</v>
    <v>Rodovia BA-262, Ilheus x Urucuca, s/n, Km 2,8 Quadra A, Polo de Informatica, Iguape, ILHEUS, BAHIA, 45.658-335 BR</v>
    <v>Telecommunications Services</v>
    <v>LVTC3</v>
    <v>Ações</v>
    <v>Livetech da Bahia Indústria e Comércio S.A. (BVMF:LVTC3)</v>
    <v>0.16</v>
    <v>4.3243000000000004E-2</v>
    <v>51700</v>
  </rv>
  <rv s="2">
    <v>547</v>
  </rv>
  <rv s="0">
    <v>https://www.bing.com/financeapi/forcetrigger?t=aplzoc&amp;q=BVMF%3aBEEF3&amp;form=skydnc</v>
    <v>Learn more on Bing</v>
  </rv>
  <rv s="7">
    <v>pt-BR</v>
    <v>aplzoc</v>
    <v>268435456</v>
    <v>1</v>
    <v>Da plataforma Refinitiv</v>
    <v>14</v>
    <v>15</v>
    <v>Minerva S.A (BVMF:BEEF3)</v>
    <v>12</v>
    <v>16</v>
    <v>Finance</v>
    <v>5</v>
    <v>7.3</v>
    <v>3.75</v>
    <v>BVMF</v>
    <v>994130600</v>
    <v>5.05</v>
    <v>1992</v>
    <v>4.8600000000000003</v>
    <v>0.78569999999999995</v>
    <v>B3 - Brazil Stock Exchange</v>
    <v>4831474716</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5.08</v>
    <v>22000</v>
    <v>45821.958333333336</v>
    <v>549</v>
    <v>17473820</v>
    <v>BRL</v>
    <v>Minerva S.A</v>
    <v>Minerva S.A</v>
    <v>5.0199999999999996</v>
    <v>4.8600000000000003</v>
    <v>Avenida Antonio Manco Bernardes s/n, BARRETOS, SAO PAULO, 14.781-545 BR</v>
    <v>Food &amp; Tobacco</v>
    <v>BEEF3</v>
    <v>Ações</v>
    <v>Minerva S.A (BVMF:BEEF3)</v>
    <v>-0.22</v>
    <v>-4.3307000000000005E-2</v>
    <v>16304800</v>
  </rv>
  <rv s="2">
    <v>550</v>
  </rv>
  <rv s="0">
    <v>https://www.bing.com/financeapi/forcetrigger?t=aplvfr&amp;q=BVMF%3aALPA4&amp;form=skydnc</v>
    <v>Learn more on Bing</v>
  </rv>
  <rv s="7">
    <v>pt-BR</v>
    <v>aplvfr</v>
    <v>268435456</v>
    <v>1</v>
    <v>Da plataforma Refinitiv</v>
    <v>14</v>
    <v>15</v>
    <v>ALPARGATAS S.A. (BVMF:ALPA4)</v>
    <v>12</v>
    <v>16</v>
    <v>Finance</v>
    <v>5</v>
    <v>9.65</v>
    <v>5.86</v>
    <v>BVMF</v>
    <v>683062200</v>
    <v>9.2100000000000009</v>
    <v>1907</v>
    <v>8.9600000000000009</v>
    <v>0.95469999999999999</v>
    <v>B3 - Brazil Stock Exchange</v>
    <v>6100150000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9.0299999999999994</v>
    <v>17000</v>
    <v>45821.958333333336</v>
    <v>552</v>
    <v>2158560</v>
    <v>BRL</v>
    <v>ALPARGATAS S.A.</v>
    <v>ALPARGATAS S.A.</v>
    <v>9.0500000000000007</v>
    <v>9.15</v>
    <v>Av. das Nacoes Unidas, 14.261, Vila Gertrudes, SAO PAULO, SAO PAULO, 04.794-000 BR</v>
    <v>Textiles &amp; Apparel</v>
    <v>ALPA4</v>
    <v>Ações</v>
    <v>ALPARGATAS S.A. (BVMF:ALPA4)</v>
    <v>0.12</v>
    <v>1.3289E-2</v>
    <v>5014200</v>
  </rv>
  <rv s="2">
    <v>553</v>
  </rv>
  <rv s="0">
    <v>https://www.bing.com/financeapi/forcetrigger?t=c2tzrw&amp;q=BVMF%3aMLAS3&amp;form=skydnc</v>
    <v>Learn more on Bing</v>
  </rv>
  <rv s="7">
    <v>pt-BR</v>
    <v>c2tzrw</v>
    <v>268435456</v>
    <v>1</v>
    <v>Da plataforma Refinitiv</v>
    <v>14</v>
    <v>15</v>
    <v>GRUPO MULTI S.A. (BVMF:MLAS3)</v>
    <v>12</v>
    <v>16</v>
    <v>Finance</v>
    <v>5</v>
    <v>2.3199999999999998</v>
    <v>0.99</v>
    <v>BVMF</v>
    <v>820539200</v>
    <v>1.1000000000000001</v>
    <v>1988</v>
    <v>1.07</v>
    <v>1.8429</v>
    <v>B3 - Brazil Stock Exchange</v>
    <v>877976944</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1.0900000000000001</v>
    <v>5000</v>
    <v>45821.958333333336</v>
    <v>555</v>
    <v>1774680</v>
    <v>BRL</v>
    <v>GRUPO MULTI S.A.</v>
    <v>GRUPO MULTI S.A.</v>
    <v>1.0900000000000001</v>
    <v>1.07</v>
    <v>Avenida Brigadeiro Faria Lima, n 1811 15 andar, Jardim America, SAO PAULO, SAO PAULO, 01.452-000 BR</v>
    <v>Computers, Phones &amp; Household Electronics</v>
    <v>MLAS3</v>
    <v>Ações</v>
    <v>GRUPO MULTI S.A. (BVMF:MLAS3)</v>
    <v>-0.02</v>
    <v>-1.8349000000000001E-2</v>
    <v>1208000</v>
  </rv>
  <rv s="2">
    <v>556</v>
  </rv>
  <rv s="0">
    <v>https://www.bing.com/financeapi/forcetrigger?t=apmj52&amp;q=BVMF%3aEUCA4&amp;form=skydnc</v>
    <v>Learn more on Bing</v>
  </rv>
  <rv s="7">
    <v>pt-BR</v>
    <v>apmj52</v>
    <v>268435456</v>
    <v>1</v>
    <v>Da plataforma Refinitiv</v>
    <v>14</v>
    <v>15</v>
    <v>Eucatex S.A. Industria e Comercio (BVMF:EUCA4)</v>
    <v>12</v>
    <v>16</v>
    <v>Finance</v>
    <v>5</v>
    <v>19.2</v>
    <v>11.85</v>
    <v>BVMF</v>
    <v>92619260</v>
    <v>18.63</v>
    <v>1951</v>
    <v>18.260000000000002</v>
    <v>0.94910000000000005</v>
    <v>B3 - Brazil Stock Exchange</v>
    <v>1811850000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18.829999999999998</v>
    <v>2378</v>
    <v>45821.958333333336</v>
    <v>558</v>
    <v>73350</v>
    <v>BRL</v>
    <v>Eucatex S.A. Industria e Comercio</v>
    <v>Eucatex S.A. Industria e Comercio</v>
    <v>18.63</v>
    <v>18.399999999999999</v>
    <v>Av. Juscelino Kubitschek, 1830 11 andar,Torre I, Vila Olimpia, SAO PAULO, SAO PAULO, 04.543-900 BR</v>
    <v>Paper &amp; Forest Products</v>
    <v>EUCA4</v>
    <v>Ações</v>
    <v>Eucatex S.A. Industria e Comercio (BVMF:EUCA4)</v>
    <v>-0.43</v>
    <v>-2.2835999999999999E-2</v>
    <v>65600</v>
  </rv>
  <rv s="2">
    <v>559</v>
  </rv>
  <rv s="0">
    <v>https://www.bing.com/financeapi/forcetrigger?t=azh5a2&amp;q=BVMF%3aB3SA3&amp;form=skydnc</v>
    <v>Learn more on Bing</v>
  </rv>
  <rv s="7">
    <v>pt-BR</v>
    <v>azh5a2</v>
    <v>268435456</v>
    <v>1</v>
    <v>Da plataforma Refinitiv</v>
    <v>14</v>
    <v>15</v>
    <v>B3 S.A - Brasil, Bolsa, Balcão (BVMF:B3SA3)</v>
    <v>12</v>
    <v>16</v>
    <v>Finance</v>
    <v>5</v>
    <v>15.11</v>
    <v>8.89</v>
    <v>BVMF</v>
    <v>5426500000</v>
    <v>13.1</v>
    <v>2007</v>
    <v>12.7</v>
    <v>1.5065</v>
    <v>B3 - Brazil Stock Exchange</v>
    <v>70815825000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12.98</v>
    <v>2135</v>
    <v>45821.958333333336</v>
    <v>561</v>
    <v>51501260</v>
    <v>BRL</v>
    <v>B3 S.A - Brasil, Bolsa, Balcão</v>
    <v>B3 S.A - Brasil, Bolsa, Balcão</v>
    <v>12.75</v>
    <v>13.05</v>
    <v>Praca Antonio Prado, 48 7 andar, Centro, SAO PAULO, SAO PAULO, 01.010-901 BR</v>
    <v>Investment Banking &amp; Investment Services</v>
    <v>B3SA3</v>
    <v>Ações</v>
    <v>B3 S.A - Brasil, Bolsa, Balcão (BVMF:B3SA3)</v>
    <v>7.0000000000000007E-2</v>
    <v>5.3930000000000002E-3</v>
    <v>52654000</v>
  </rv>
  <rv s="2">
    <v>562</v>
  </rv>
  <rv s="0">
    <v>https://www.bing.com/financeapi/forcetrigger?t=c33rbh&amp;q=BVMF%3aKRSA3&amp;form=skydnc</v>
    <v>Learn more on Bing</v>
  </rv>
  <rv s="6">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564</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565</v>
  </rv>
  <rv s="0">
    <v>https://www.bing.com/financeapi/forcetrigger?t=apm2pr&amp;q=BVMF%3aBOBR4&amp;form=skydnc</v>
    <v>Learn more on Bing</v>
  </rv>
  <rv s="7">
    <v>pt-BR</v>
    <v>apm2pr</v>
    <v>268435456</v>
    <v>1</v>
    <v>Da plataforma Refinitiv</v>
    <v>14</v>
    <v>15</v>
    <v>BOMBRIL S.A. (BVMF:BOBR4)</v>
    <v>12</v>
    <v>16</v>
    <v>Finance</v>
    <v>5</v>
    <v>3.06</v>
    <v>1.46</v>
    <v>BVMF</v>
    <v>260509800</v>
    <v>1.59</v>
    <v>1948</v>
    <v>1.56</v>
    <v>0.83069999999999999</v>
    <v>B3 - Brazil Stock Exchange</v>
    <v>414210582</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1.57</v>
    <v>2911</v>
    <v>45821.958333333336</v>
    <v>567</v>
    <v>11600</v>
    <v>BRL</v>
    <v>BOMBRIL S.A.</v>
    <v>BOMBRIL S.A.</v>
    <v>1.58</v>
    <v>1.59</v>
    <v>Via Anchieta, KM 14,S/N, Rudge Ramos, SAO BERNARDO DO CAMPO, SAO PAULO, 09.696-000 BR</v>
    <v>Personal &amp; Household Products &amp; Services</v>
    <v>BOBR4</v>
    <v>Ações</v>
    <v>BOMBRIL S.A. (BVMF:BOBR4)</v>
    <v>0.02</v>
    <v>1.2739E-2</v>
    <v>3000</v>
  </rv>
  <rv s="2">
    <v>568</v>
  </rv>
  <rv s="0">
    <v>https://www.bing.com/financeapi/forcetrigger?t=apmivh&amp;q=BVMF%3aETER3&amp;form=skydnc</v>
    <v>Learn more on Bing</v>
  </rv>
  <rv s="7">
    <v>pt-BR</v>
    <v>apmivh</v>
    <v>268435456</v>
    <v>1</v>
    <v>Da plataforma Refinitiv</v>
    <v>14</v>
    <v>15</v>
    <v>Eternit S.A. - Em Recuperação Judicial (BVMF:ETER3)</v>
    <v>12</v>
    <v>16</v>
    <v>Finance</v>
    <v>5</v>
    <v>7.03</v>
    <v>4.0199999999999996</v>
    <v>BVMF</v>
    <v>61776580</v>
    <v>4.17</v>
    <v>1940</v>
    <v>4.03</v>
    <v>1.9407000000000001</v>
    <v>B3 - Brazil Stock Exchange</v>
    <v>248959617</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4.13</v>
    <v>631</v>
    <v>45821.958333333336</v>
    <v>570</v>
    <v>73100</v>
    <v>BRL</v>
    <v>Eternit S.A. - Em Recuperação Judicial</v>
    <v>Eternit S.A. - Em Recuperação Judicial</v>
    <v>4.16</v>
    <v>4.03</v>
    <v>Rua Dr. Fernandes Coelho, 85, 8 andar, Pinheiros, SAO PAULO, SAO PAULO, 05.423-040 BR</v>
    <v>Construction Materials</v>
    <v>ETER3</v>
    <v>Ações</v>
    <v>Eternit S.A. - Em Recuperação Judicial (BVMF:ETER3)</v>
    <v>-0.1</v>
    <v>-2.4212999999999998E-2</v>
    <v>63100</v>
  </rv>
  <rv s="2">
    <v>571</v>
  </rv>
  <rv s="0">
    <v>https://www.bing.com/financeapi/forcetrigger?t=bxgbu2&amp;q=BVMF%3aESPA3&amp;form=skydnc</v>
    <v>Learn more on Bing</v>
  </rv>
  <rv s="7">
    <v>pt-BR</v>
    <v>bxgbu2</v>
    <v>268435456</v>
    <v>1</v>
    <v>Da plataforma Refinitiv</v>
    <v>14</v>
    <v>15</v>
    <v>MPM Corpóreos S.A. (BVMF:ESPA3)</v>
    <v>12</v>
    <v>16</v>
    <v>Finance</v>
    <v>5</v>
    <v>1.2</v>
    <v>0.66</v>
    <v>BVMF</v>
    <v>361423100</v>
    <v>1.02</v>
    <v>2016</v>
    <v>1</v>
    <v>1.6117999999999999</v>
    <v>B3 - Brazil Stock Exchange</v>
    <v>368651562</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1.03</v>
    <v>3038</v>
    <v>45821.958333333336</v>
    <v>573</v>
    <v>342070</v>
    <v>BRL</v>
    <v>MPM Corpóreos S.A.</v>
    <v>MPM Corpóreos S.A.</v>
    <v>1.01</v>
    <v>1.02</v>
    <v>Avenida dos Eucaliptos, no 763 sala 2, Indianopolis, Sao Paulo, SAO PAULO, 04.517-050 BR</v>
    <v>Personal &amp; Household Products &amp; Services</v>
    <v>ESPA3</v>
    <v>Ações</v>
    <v>MPM Corpóreos S.A. (BVMF:ESPA3)</v>
    <v>-0.01</v>
    <v>-9.7090000000000006E-3</v>
    <v>191200</v>
  </rv>
  <rv s="2">
    <v>574</v>
  </rv>
  <rv s="0">
    <v>https://www.bing.com/financeapi/forcetrigger?t=c1o4r7&amp;q=BVMF%3aMATD3&amp;form=skydnc</v>
    <v>Learn more on Bing</v>
  </rv>
  <rv s="7">
    <v>pt-BR</v>
    <v>c1o4r7</v>
    <v>268435456</v>
    <v>1</v>
    <v>Da plataforma Refinitiv</v>
    <v>14</v>
    <v>15</v>
    <v>Hospital Mater Dei S.A. (BVMF:MATD3)</v>
    <v>12</v>
    <v>16</v>
    <v>Finance</v>
    <v>5</v>
    <v>5.1100000000000003</v>
    <v>3.3</v>
    <v>BVMF</v>
    <v>339428000</v>
    <v>4.46</v>
    <v>1973</v>
    <v>4.3499999999999996</v>
    <v>1.5694999999999999</v>
    <v>B3 - Brazil Stock Exchange</v>
    <v>1493483200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4.47</v>
    <v>3677</v>
    <v>45821.958333333336</v>
    <v>576</v>
    <v>301740</v>
    <v>BRL</v>
    <v>Hospital Mater Dei S.A.</v>
    <v>Hospital Mater Dei S.A.</v>
    <v>4.42</v>
    <v>4.4000000000000004</v>
    <v>R Mato Grosso 1100, Santo Agostinho, BELO HORIZONTE, MINAS GERAIS, 30.190-081 BR</v>
    <v>Healthcare Providers &amp; Services</v>
    <v>MATD3</v>
    <v>Ações</v>
    <v>Hospital Mater Dei S.A. (BVMF:MATD3)</v>
    <v>-7.0000000000000007E-2</v>
    <v>-1.566E-2</v>
    <v>450000</v>
  </rv>
  <rv s="2">
    <v>577</v>
  </rv>
  <rv s="0">
    <v>https://www.bing.com/financeapi/forcetrigger?t=c2vma2&amp;q=BVMF%3aTRAD3&amp;form=skydnc</v>
    <v>Learn more on Bing</v>
  </rv>
  <rv s="7">
    <v>pt-BR</v>
    <v>c2vma2</v>
    <v>268435456</v>
    <v>1</v>
    <v>Da plataforma Refinitiv</v>
    <v>14</v>
    <v>15</v>
    <v>TC S.A. (BVMF:TRAD3)</v>
    <v>12</v>
    <v>16</v>
    <v>Finance</v>
    <v>5</v>
    <v>9.4499999999999993</v>
    <v>2.42</v>
    <v>BVMF</v>
    <v>40021020</v>
    <v>7.59</v>
    <v>2016</v>
    <v>7.08</v>
    <v>0.5796</v>
    <v>B3 - Brazil Stock Exchange</v>
    <v>288151344</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7.47</v>
    <v>179</v>
    <v>45821.958333333336</v>
    <v>579</v>
    <v>46850</v>
    <v>BRL</v>
    <v>TC S.A.</v>
    <v>TC S.A.</v>
    <v>7.43</v>
    <v>7.2</v>
    <v>Avenida Presidente Juscelino Kubitschek, n 1830 Torre2, 5 andar,cj52, Vila Nova Conceicao, SAO PAULO, SAO PAULO, 04.543-900 BR</v>
    <v>Professional &amp; Business Education</v>
    <v>TRAD3</v>
    <v>Ações</v>
    <v>TC S.A. (BVMF:TRAD3)</v>
    <v>-0.27</v>
    <v>-3.6145000000000004E-2</v>
    <v>29600</v>
  </rv>
  <rv s="2">
    <v>580</v>
  </rv>
  <rv s="0">
    <v>https://www.bing.com/financeapi/forcetrigger?t=apnl4c&amp;q=BVMF%3aVULC3&amp;form=skydnc</v>
    <v>Learn more on Bing</v>
  </rv>
  <rv s="7">
    <v>pt-BR</v>
    <v>apnl4c</v>
    <v>268435456</v>
    <v>1</v>
    <v>Da plataforma Refinitiv</v>
    <v>14</v>
    <v>15</v>
    <v>Vulcabras S/A (BVMF:VULC3)</v>
    <v>12</v>
    <v>16</v>
    <v>Finance</v>
    <v>5</v>
    <v>21.34</v>
    <v>13.1</v>
    <v>BVMF</v>
    <v>275536300</v>
    <v>19.690000000000001</v>
    <v>1952</v>
    <v>19.260000000000002</v>
    <v>0.83260000000000001</v>
    <v>B3 - Brazil Stock Exchange</v>
    <v>5372957850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19.7</v>
    <v>23878</v>
    <v>45821.958333333336</v>
    <v>582</v>
    <v>658030</v>
    <v>BRL</v>
    <v>Vulcabras S/A</v>
    <v>Vulcabras S/A</v>
    <v>19.690000000000001</v>
    <v>19.5</v>
    <v>Av. Antonio Frederico Ozanan, 1440, Da Grama, JUNDIAI, SAO PAULO, 13.219-001 BR</v>
    <v>Textiles &amp; Apparel</v>
    <v>VULC3</v>
    <v>Ações</v>
    <v>Vulcabras S/A (BVMF:VULC3)</v>
    <v>-0.2</v>
    <v>-1.0152000000000001E-2</v>
    <v>356500</v>
  </rv>
  <rv s="2">
    <v>583</v>
  </rv>
  <rv s="0">
    <v>https://www.bing.com/financeapi/forcetrigger?t=apmw4c&amp;q=BVMF%3aLUPA3&amp;form=skydnc</v>
    <v>Learn more on Bing</v>
  </rv>
  <rv s="7">
    <v>pt-BR</v>
    <v>apmw4c</v>
    <v>268435456</v>
    <v>1</v>
    <v>Da plataforma Refinitiv</v>
    <v>14</v>
    <v>15</v>
    <v>LUPATECH S.A (BVMF:LUPA3)</v>
    <v>12</v>
    <v>16</v>
    <v>Finance</v>
    <v>5</v>
    <v>2.09</v>
    <v>1.1299999999999999</v>
    <v>BVMF</v>
    <v>43716190</v>
    <v>1.22</v>
    <v>1980</v>
    <v>1.18</v>
    <v>1.7897000000000001</v>
    <v>B3 - Brazil Stock Exchange</v>
    <v>52896589</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1.19</v>
    <v>448</v>
    <v>45821.958333333336</v>
    <v>585</v>
    <v>42230</v>
    <v>BRL</v>
    <v>LUPATECH S.A</v>
    <v>LUPATECH S.A</v>
    <v>1.22</v>
    <v>1.21</v>
    <v>Rodovia Anhanguera, sentido interior/capital,KM 119, predio C, Distrito Industrial, NOVA ODESSA, SAO PAULO, 13.388-220 BR</v>
    <v>Machinery, Equipment &amp; Components</v>
    <v>LUPA3</v>
    <v>Ações</v>
    <v>LUPATECH S.A (BVMF:LUPA3)</v>
    <v>0.02</v>
    <v>1.6807000000000002E-2</v>
    <v>51700</v>
  </rv>
  <rv s="2">
    <v>586</v>
  </rv>
  <rv s="0">
    <v>https://www.bing.com/financeapi/forcetrigger?t=apmg77&amp;q=BVMF%3aECOR3&amp;form=skydnc</v>
    <v>Learn more on Bing</v>
  </rv>
  <rv s="7">
    <v>pt-BR</v>
    <v>apmg77</v>
    <v>268435456</v>
    <v>1</v>
    <v>Da plataforma Refinitiv</v>
    <v>14</v>
    <v>15</v>
    <v>ECORODOVIAS INFRAESTRUTURA E LOGÍSTICA S.A. (BVMF:ECOR3)</v>
    <v>12</v>
    <v>16</v>
    <v>Finance</v>
    <v>5</v>
    <v>8.2200000000000006</v>
    <v>3.97</v>
    <v>BVMF</v>
    <v>696334200</v>
    <v>7.23</v>
    <v>2000</v>
    <v>7.07</v>
    <v>1.6121000000000001</v>
    <v>B3 - Brazil Stock Exchange</v>
    <v>5006642898</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7.25</v>
    <v>5821</v>
    <v>45821.958333333336</v>
    <v>588</v>
    <v>3885580</v>
    <v>BRL</v>
    <v>ECORODOVIAS INFRAESTRUTURA E LOGÍSTICA S.A.</v>
    <v>ECORODOVIAS INFRAESTRUTURA E LOGÍSTICA S.A.</v>
    <v>7.15</v>
    <v>7.19</v>
    <v>Rua Gomes de Carvalho, n 1.510, Conjuntos 31/32, Vila Olimpia, SAO PAULO, SAO PAULO, 04.547-005 BR</v>
    <v>Transport Infrastructure</v>
    <v>ECOR3</v>
    <v>Ações</v>
    <v>ECORODOVIAS INFRAESTRUTURA E LOGÍSTICA S.A. (BVMF:ECOR3)</v>
    <v>-0.06</v>
    <v>-8.2760000000000004E-3</v>
    <v>2897800</v>
  </rv>
  <rv s="2">
    <v>589</v>
  </rv>
  <rv s="0">
    <v>https://www.bing.com/financeapi/forcetrigger?t=apn452&amp;q=BVMF%3aPDGR3&amp;form=skydnc</v>
    <v>Learn more on Bing</v>
  </rv>
  <rv s="8">
    <v>pt-BR</v>
    <v>apn452</v>
    <v>268435456</v>
    <v>1</v>
    <v>Da plataforma Refinitiv</v>
    <v>17</v>
    <v>18</v>
    <v>PDG Realty S.A. Empreendimentos e Participações (BVMF:PDGR3)</v>
    <v>12</v>
    <v>19</v>
    <v>Finance</v>
    <v>5</v>
    <v>32.5</v>
    <v>0.23</v>
    <v>BVMF</v>
    <v>29691030</v>
    <v>0.32</v>
    <v>1998</v>
    <v>0.26</v>
    <v>1.7021999999999999</v>
    <v>B3 - Brazil Stock Exchange</v>
    <v>8907309</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0.28999999999999998</v>
    <v>45821.958333333336</v>
    <v>591</v>
    <v>2408690</v>
    <v>BRL</v>
    <v>PDG Realty S.A. Empreendimentos e Participações</v>
    <v>PDG Realty S.A. Empreendimentos e Participações</v>
    <v>0.28999999999999998</v>
    <v>0.3</v>
    <v>Av. Dr. Cardoso de Melo 1855, 6 andar, Vila Olimpia, SAO PAULO, SAO PAULO, 04.548-005 BR</v>
    <v>Holding Companies</v>
    <v>PDGR3</v>
    <v>Ações</v>
    <v>PDG Realty S.A. Empreendimentos e Participações (BVMF:PDGR3)</v>
    <v>0.01</v>
    <v>3.4483E-2</v>
    <v>1551300</v>
  </rv>
  <rv s="2">
    <v>592</v>
  </rv>
  <rv s="0">
    <v>https://www.bing.com/financeapi/forcetrigger?t=apmamw&amp;q=BVMF%3aCOCE5&amp;form=skydnc</v>
    <v>Learn more on Bing</v>
  </rv>
  <rv s="7">
    <v>pt-BR</v>
    <v>apmamw</v>
    <v>268435456</v>
    <v>1</v>
    <v>Da plataforma Refinitiv</v>
    <v>14</v>
    <v>15</v>
    <v>Companhia Energética do Ceará (BVMF:COCE5)</v>
    <v>12</v>
    <v>16</v>
    <v>Finance</v>
    <v>5</v>
    <v>30.9</v>
    <v>22.25</v>
    <v>BVMF</v>
    <v>77855300</v>
    <v>26.2</v>
    <v>1971</v>
    <v>25.4</v>
    <v>0.41199999999999998</v>
    <v>B3 - Brazil Stock Exchange</v>
    <v>1969355000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25.81</v>
    <v>1928</v>
    <v>45821.958333333336</v>
    <v>594</v>
    <v>4140</v>
    <v>BRL</v>
    <v>Companhia Energética do Ceará</v>
    <v>Companhia Energética do Ceará</v>
    <v>25.9</v>
    <v>25.4</v>
    <v>R Padre Valdevino 150, Centro, FORTALEZA, CEARA, 60.135-040 BR</v>
    <v>Electrical Utilities &amp; IPPs</v>
    <v>COCE5</v>
    <v>Ações</v>
    <v>Companhia Energética do Ceará (BVMF:COCE5)</v>
    <v>-0.41</v>
    <v>-1.5885E-2</v>
    <v>5400</v>
  </rv>
  <rv s="2">
    <v>595</v>
  </rv>
  <rv s="0">
    <v>https://www.bing.com/financeapi/forcetrigger?t=bskpw7&amp;q=BVMF%3aCEAB3&amp;form=skydnc</v>
    <v>Learn more on Bing</v>
  </rv>
  <rv s="7">
    <v>pt-BR</v>
    <v>bskpw7</v>
    <v>268435456</v>
    <v>1</v>
    <v>Da plataforma Refinitiv</v>
    <v>14</v>
    <v>15</v>
    <v>C&amp;A MODAS S.A. (BVMF:CEAB3)</v>
    <v>12</v>
    <v>16</v>
    <v>Finance</v>
    <v>5</v>
    <v>18.37</v>
    <v>7.3</v>
    <v>BVMF</v>
    <v>308245100</v>
    <v>17.350000000000001</v>
    <v>1981</v>
    <v>16.64</v>
    <v>1.9206000000000001</v>
    <v>B3 - Brazil Stock Exchange</v>
    <v>5132280915</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17.399999999999999</v>
    <v>15000</v>
    <v>45821.958333333336</v>
    <v>597</v>
    <v>2451290</v>
    <v>BRL</v>
    <v>C&amp;A MODAS S.A.</v>
    <v>C&amp;A MODAS S.A.</v>
    <v>17.149999999999999</v>
    <v>16.649999999999999</v>
    <v>Alameda Araguaia, 1.222/1.022, Alphaville, BARUERI, SAO PAULO, 06.455-000 BR</v>
    <v>Specialty Retailers</v>
    <v>CEAB3</v>
    <v>Ações</v>
    <v>C&amp;A MODAS S.A. (BVMF:CEAB3)</v>
    <v>-0.75</v>
    <v>-4.3102999999999995E-2</v>
    <v>2866200</v>
  </rv>
  <rv s="2">
    <v>598</v>
  </rv>
  <rv s="0">
    <v>https://www.bing.com/financeapi/forcetrigger?t=bv5ur7&amp;q=BVMF%3aAMBP3&amp;form=skydnc</v>
    <v>Learn more on Bing</v>
  </rv>
  <rv s="8">
    <v>pt-BR</v>
    <v>bv5ur7</v>
    <v>268435456</v>
    <v>1</v>
    <v>Da plataforma Refinitiv</v>
    <v>17</v>
    <v>18</v>
    <v>Ambipar Participações e Empreendimentos S.A. (BVMF:AMBP3)</v>
    <v>12</v>
    <v>19</v>
    <v>Finance</v>
    <v>5</v>
    <v>268.51</v>
    <v>8.2200000000000006</v>
    <v>BVMF</v>
    <v>167041900</v>
    <v>183.2</v>
    <v>2010</v>
    <v>169.81</v>
    <v>1.5419</v>
    <v>B3 - Brazil Stock Exchange</v>
    <v>28367055458</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177</v>
    <v>45821.958333333336</v>
    <v>600</v>
    <v>208660</v>
    <v>BRL</v>
    <v>Ambipar Participações e Empreendimentos S.A.</v>
    <v>Ambipar Participações e Empreendimentos S.A.</v>
    <v>175.98</v>
    <v>169.82</v>
    <v>Av Pacaembu 1088 Sala 09, Pacaembu, SAO PAULO, SAO PAULO, 01.234-000 BR</v>
    <v>Professional &amp; Commercial Services</v>
    <v>AMBP3</v>
    <v>Ações</v>
    <v>Ambipar Participações e Empreendimentos S.A. (BVMF:AMBP3)</v>
    <v>-7.18</v>
    <v>-4.0564999999999997E-2</v>
    <v>174900</v>
  </rv>
  <rv s="2">
    <v>601</v>
  </rv>
  <rv s="0">
    <v>https://www.bing.com/financeapi/forcetrigger?t=bwzurw&amp;q=BVMF%3aNGRD3&amp;form=skydnc</v>
    <v>Learn more on Bing</v>
  </rv>
  <rv s="7">
    <v>pt-BR</v>
    <v>bwzurw</v>
    <v>268435456</v>
    <v>1</v>
    <v>Da plataforma Refinitiv</v>
    <v>14</v>
    <v>15</v>
    <v>Neogrid Participações S.A (BVMF:NGRD3)</v>
    <v>12</v>
    <v>16</v>
    <v>Finance</v>
    <v>5</v>
    <v>35</v>
    <v>18.23</v>
    <v>BVMF</v>
    <v>9140940</v>
    <v>27.32</v>
    <v>2008</v>
    <v>25.95</v>
    <v>1.0766</v>
    <v>B3 - Brazil Stock Exchange</v>
    <v>242783366</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26.83</v>
    <v>719</v>
    <v>45821.958333333336</v>
    <v>603</v>
    <v>8380</v>
    <v>BRL</v>
    <v>Neogrid Participações S.A</v>
    <v>Neogrid Participações S.A</v>
    <v>26.1</v>
    <v>26.56</v>
    <v>Avenida Santos Dumont, 935 1 andar, Santo Antonio, Joinville, SANTA CATARINA, 89.218-105 BR</v>
    <v>Software &amp; IT Services</v>
    <v>NGRD3</v>
    <v>Ações</v>
    <v>Neogrid Participações S.A (BVMF:NGRD3)</v>
    <v>-0.27</v>
    <v>-1.0062999999999999E-2</v>
    <v>8100</v>
  </rv>
  <rv s="2">
    <v>604</v>
  </rv>
  <rv s="0">
    <v>https://www.bing.com/financeapi/forcetrigger?t=apm6k2&amp;q=BVMF%3aCAML3&amp;form=skydnc</v>
    <v>Learn more on Bing</v>
  </rv>
  <rv s="7">
    <v>pt-BR</v>
    <v>apm6k2</v>
    <v>268435456</v>
    <v>1</v>
    <v>Da plataforma Refinitiv</v>
    <v>14</v>
    <v>15</v>
    <v>CAMIL ALIMENTOS S.A. (BVMF:CAML3)</v>
    <v>12</v>
    <v>16</v>
    <v>Finance</v>
    <v>5</v>
    <v>9.76</v>
    <v>3.43</v>
    <v>BVMF</v>
    <v>350000000</v>
    <v>5.14</v>
    <v>1990</v>
    <v>4.96</v>
    <v>0.38840000000000002</v>
    <v>B3 - Brazil Stock Exchange</v>
    <v>1770999999</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5.0599999999999996</v>
    <v>7000</v>
    <v>45821.958333333336</v>
    <v>606</v>
    <v>1375160</v>
    <v>BRL</v>
    <v>CAMIL ALIMENTOS S.A.</v>
    <v>CAMIL ALIMENTOS S.A.</v>
    <v>5.0599999999999996</v>
    <v>5.0599999999999996</v>
    <v>Av. Doutora Ruth Cardoso 8501, 12 andar, Pinheiros, Eldorado Business Tower, SAO PAULO, SAO PAULO, 05.425-070 BR</v>
    <v>Food &amp; Tobacco</v>
    <v>CAML3</v>
    <v>Ações</v>
    <v>CAMIL ALIMENTOS S.A. (BVMF:CAML3)</v>
    <v>0</v>
    <v>0</v>
    <v>962500</v>
  </rv>
  <rv s="2">
    <v>607</v>
  </rv>
  <rv s="0">
    <v>https://www.bing.com/financeapi/forcetrigger?t=apml3m&amp;q=BVMF%3aTASA3&amp;form=skydnc</v>
    <v>Learn more on Bing</v>
  </rv>
  <rv s="7">
    <v>pt-BR</v>
    <v>apml3m</v>
    <v>268435456</v>
    <v>1</v>
    <v>Da plataforma Refinitiv</v>
    <v>14</v>
    <v>15</v>
    <v>Taurus Armas S.A (BVMF:TASA3)</v>
    <v>12</v>
    <v>16</v>
    <v>Finance</v>
    <v>5</v>
    <v>11.53</v>
    <v>7.01</v>
    <v>BVMF</v>
    <v>139297900</v>
    <v>7.76</v>
    <v>1939</v>
    <v>7.55</v>
    <v>1.0914999999999999</v>
    <v>B3 - Brazil Stock Exchange</v>
    <v>1027608000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7.7</v>
    <v>3286</v>
    <v>45821.958333333336</v>
    <v>609</v>
    <v>220690</v>
    <v>BRL</v>
    <v>Taurus Armas S.A</v>
    <v>Taurus Armas S.A</v>
    <v>7.68</v>
    <v>7.75</v>
    <v>Avenida Sao Borja 2181/Predio A, Fazenda Sao Borja, SAO LEOPOLDO, RIO GRANDE DO SUL, 93.035-411 BR</v>
    <v>Aerospace &amp; Defense</v>
    <v>TASA3</v>
    <v>Ações</v>
    <v>Taurus Armas S.A (BVMF:TASA3)</v>
    <v>0.05</v>
    <v>6.4939999999999998E-3</v>
    <v>6200</v>
  </rv>
  <rv s="2">
    <v>610</v>
  </rv>
  <rv s="0">
    <v>https://www.bing.com/financeapi/forcetrigger?t=bpryr7&amp;q=BVMF%3aSBFG3&amp;form=skydnc</v>
    <v>Learn more on Bing</v>
  </rv>
  <rv s="7">
    <v>pt-BR</v>
    <v>bpryr7</v>
    <v>268435456</v>
    <v>1</v>
    <v>Da plataforma Refinitiv</v>
    <v>14</v>
    <v>15</v>
    <v>GRUPO SBF S.A. (BVMF:SBFG3)</v>
    <v>12</v>
    <v>16</v>
    <v>Finance</v>
    <v>5</v>
    <v>17.91</v>
    <v>8.92</v>
    <v>BVMF</v>
    <v>244013000</v>
    <v>11.91</v>
    <v>2011</v>
    <v>11.57</v>
    <v>2.0825999999999998</v>
    <v>B3 - Brazil Stock Exchange</v>
    <v>2879353400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11.86</v>
    <v>8196</v>
    <v>45821.958333333336</v>
    <v>612</v>
    <v>1708530</v>
    <v>BRL</v>
    <v>GRUPO SBF S.A.</v>
    <v>GRUPO SBF S.A.</v>
    <v>11.82</v>
    <v>11.8</v>
    <v>Av Dra Ruth Cardoso 7221 Andar Ed Birman 3, Pinheiros, PINHEIROS, SAO PAULO, 05.425-902 BR</v>
    <v>Specialty Retailers</v>
    <v>SBFG3</v>
    <v>Ações</v>
    <v>GRUPO SBF S.A. (BVMF:SBFG3)</v>
    <v>-0.06</v>
    <v>-5.0590000000000001E-3</v>
    <v>890100</v>
  </rv>
  <rv s="2">
    <v>613</v>
  </rv>
  <rv s="0">
    <v>https://www.bing.com/financeapi/forcetrigger?t=apnfbh&amp;q=BVMF%3aTECN3&amp;form=skydnc</v>
    <v>Learn more on Bing</v>
  </rv>
  <rv s="7">
    <v>pt-BR</v>
    <v>apnfbh</v>
    <v>268435456</v>
    <v>1</v>
    <v>Da plataforma Refinitiv</v>
    <v>14</v>
    <v>15</v>
    <v>TECHNOS S.A. (BVMF:TECN3)</v>
    <v>12</v>
    <v>16</v>
    <v>Finance</v>
    <v>5</v>
    <v>6.89</v>
    <v>3.86</v>
    <v>BVMF</v>
    <v>61856210</v>
    <v>6.87</v>
    <v>2007</v>
    <v>6.7</v>
    <v>0.71740000000000004</v>
    <v>B3 - Brazil Stock Exchange</v>
    <v>424952162</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6.77</v>
    <v>900</v>
    <v>45821.958333333336</v>
    <v>615</v>
    <v>97670</v>
    <v>BRL</v>
    <v>TECHNOS S.A.</v>
    <v>TECHNOS S.A.</v>
    <v>6.75</v>
    <v>6.87</v>
    <v>Avenida Das Americas, 4200 - Bloco 5 - 6 Andar, Barra Da Tijuca, RIO DE JANEIRO, RIO DE JANEIRO, 22.640-907 BR</v>
    <v>Specialty Retailers</v>
    <v>TECN3</v>
    <v>Ações</v>
    <v>TECHNOS S.A. (BVMF:TECN3)</v>
    <v>0.1</v>
    <v>1.4771000000000001E-2</v>
    <v>35200</v>
  </rv>
  <rv s="2">
    <v>616</v>
  </rv>
  <rv s="0">
    <v>https://www.bing.com/financeapi/forcetrigger?t=apncxm&amp;q=BVMF%3aSMTO3&amp;form=skydnc</v>
    <v>Learn more on Bing</v>
  </rv>
  <rv s="7">
    <v>pt-BR</v>
    <v>apncxm</v>
    <v>268435456</v>
    <v>1</v>
    <v>Da plataforma Refinitiv</v>
    <v>14</v>
    <v>15</v>
    <v>São Martinho S.A. (BVMF:SMTO3)</v>
    <v>12</v>
    <v>16</v>
    <v>Finance</v>
    <v>5</v>
    <v>33.28</v>
    <v>18.329999999999998</v>
    <v>BVMF</v>
    <v>332435400</v>
    <v>20.45</v>
    <v>1943</v>
    <v>19.36</v>
    <v>0.34499999999999997</v>
    <v>B3 - Brazil Stock Exchange</v>
    <v>6708546372</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20.170000000000002</v>
    <v>7869</v>
    <v>45821.958333333336</v>
    <v>618</v>
    <v>1405510</v>
    <v>BRL</v>
    <v>São Martinho S.A.</v>
    <v>São Martinho S.A.</v>
    <v>19.75</v>
    <v>20.18</v>
    <v>Fazenda Sao Martinho, S/Nr., Zona Rural, PRADOPOLIS, SAO PAULO, 14.850-000 BR</v>
    <v>Food &amp; Tobacco</v>
    <v>SMTO3</v>
    <v>Ações</v>
    <v>São Martinho S.A. (BVMF:SMTO3)</v>
    <v>0.01</v>
    <v>4.9580000000000002E-4</v>
    <v>3087000</v>
  </rv>
  <rv s="2">
    <v>619</v>
  </rv>
  <rv s="0">
    <v>https://www.bing.com/financeapi/forcetrigger?t=apn852&amp;q=BVMF%3aRANI3&amp;form=skydnc</v>
    <v>Learn more on Bing</v>
  </rv>
  <rv s="7">
    <v>pt-BR</v>
    <v>apn852</v>
    <v>268435456</v>
    <v>1</v>
    <v>Da plataforma Refinitiv</v>
    <v>14</v>
    <v>15</v>
    <v>IRANI PAPEL E EMBALAGEM S.A. (BVMF:RANI3)</v>
    <v>12</v>
    <v>16</v>
    <v>Finance</v>
    <v>5</v>
    <v>8.4600000000000009</v>
    <v>5.97</v>
    <v>BVMF</v>
    <v>239829900</v>
    <v>7.68</v>
    <v>1941</v>
    <v>7.52</v>
    <v>0.51359999999999995</v>
    <v>B3 - Brazil Stock Exchange</v>
    <v>1813114044</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7.64</v>
    <v>2348</v>
    <v>45821.958333333336</v>
    <v>621</v>
    <v>665340</v>
    <v>BRL</v>
    <v>IRANI PAPEL E EMBALAGEM S.A.</v>
    <v>IRANI PAPEL E EMBALAGEM S.A.</v>
    <v>7.61</v>
    <v>7.56</v>
    <v>Avenida Carlos Gomes,n400, Edificio Joao Benjamin Zaffari, salas 502/503, Boa Vista, PORTO ALEGRE, RIO GRANDE DO SUL, 90.480-900 BR</v>
    <v>Containers &amp; Packaging</v>
    <v>RANI3</v>
    <v>Ações</v>
    <v>IRANI PAPEL E EMBALAGEM S.A. (BVMF:RANI3)</v>
    <v>-0.08</v>
    <v>-1.0470999999999999E-2</v>
    <v>403400</v>
  </rv>
  <rv s="2">
    <v>622</v>
  </rv>
  <rv s="0">
    <v>https://www.bing.com/financeapi/forcetrigger?t=bvlnz2&amp;q=BVMF%3aPETZ3&amp;form=skydnc</v>
    <v>Learn more on Bing</v>
  </rv>
  <rv s="8">
    <v>pt-BR</v>
    <v>bvlnz2</v>
    <v>268435456</v>
    <v>1</v>
    <v>Da plataforma Refinitiv</v>
    <v>17</v>
    <v>18</v>
    <v>Pet Center Comércio e Participações S.A. (BVMF:PETZ3)</v>
    <v>12</v>
    <v>19</v>
    <v>Finance</v>
    <v>5</v>
    <v>5.57</v>
    <v>3.06</v>
    <v>BVMF</v>
    <v>462739900</v>
    <v>4.2</v>
    <v>2013</v>
    <v>4.12</v>
    <v>1.1947000000000001</v>
    <v>B3 - Brazil Stock Exchange</v>
    <v>1924997984</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4.17</v>
    <v>45821.958333333336</v>
    <v>624</v>
    <v>8083060</v>
    <v>BRL</v>
    <v>Pet Center Comércio e Participações S.A.</v>
    <v>Pet Center Comércio e Participações S.A.</v>
    <v>4.16</v>
    <v>4.16</v>
    <v>Rua Guaranta, 555/587 Sala 1, Pari, SAO PAULO, SAO PAULO, 03.035-050 BR</v>
    <v>Specialty Retailers</v>
    <v>PETZ3</v>
    <v>Ações</v>
    <v>Pet Center Comércio e Participações S.A. (BVMF:PETZ3)</v>
    <v>-0.01</v>
    <v>-2.398E-3</v>
    <v>6350000</v>
  </rv>
  <rv s="2">
    <v>625</v>
  </rv>
  <rv s="0">
    <v>https://www.bing.com/financeapi/forcetrigger?t=apnh77&amp;q=BVMF%3aTOTS3&amp;form=skydnc</v>
    <v>Learn more on Bing</v>
  </rv>
  <rv s="8">
    <v>pt-BR</v>
    <v>apnh77</v>
    <v>268435456</v>
    <v>1</v>
    <v>Da plataforma Refinitiv</v>
    <v>17</v>
    <v>18</v>
    <v>TOTVS S.A. (BVMF:TOTS3)</v>
    <v>12</v>
    <v>19</v>
    <v>Finance</v>
    <v>5</v>
    <v>44.13</v>
    <v>25.78</v>
    <v>BVMF</v>
    <v>599401600</v>
    <v>41.44</v>
    <v>1983</v>
    <v>40.86</v>
    <v>0.97219999999999995</v>
    <v>B3 - Brazil Stock Exchange</v>
    <v>24599441664</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41.31</v>
    <v>45821.958333333336</v>
    <v>627</v>
    <v>3876460</v>
    <v>BRL</v>
    <v>TOTVS S.A.</v>
    <v>TOTVS S.A.</v>
    <v>40.9</v>
    <v>41.04</v>
    <v>Avenida Braz Leme 1000, Casa Verde, SAO PAULO, SAO PAULO, 02.511-000 BR</v>
    <v>Software &amp; IT Services</v>
    <v>TOTS3</v>
    <v>Ações</v>
    <v>TOTVS S.A. (BVMF:TOTS3)</v>
    <v>-0.27</v>
    <v>-6.5359999999999993E-3</v>
    <v>3738900</v>
  </rv>
  <rv s="2">
    <v>628</v>
  </rv>
  <rv s="0">
    <v>https://www.bing.com/financeapi/forcetrigger?t=apmipr&amp;q=BVMF%3aYDUQ3&amp;form=skydnc</v>
    <v>Learn more on Bing</v>
  </rv>
  <rv s="7">
    <v>pt-BR</v>
    <v>apmipr</v>
    <v>268435456</v>
    <v>1</v>
    <v>Da plataforma Refinitiv</v>
    <v>14</v>
    <v>15</v>
    <v>YDUQS Participações S.A. (BVMF:YDUQ3)</v>
    <v>12</v>
    <v>16</v>
    <v>Finance</v>
    <v>5</v>
    <v>17.8</v>
    <v>7.54</v>
    <v>BVMF</v>
    <v>274088800</v>
    <v>16.62</v>
    <v>2007</v>
    <v>16</v>
    <v>1.978</v>
    <v>B3 - Brazil Stock Exchange</v>
    <v>4530687864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16.77</v>
    <v>16000</v>
    <v>45821.958333333336</v>
    <v>630</v>
    <v>4490560</v>
    <v>BRL</v>
    <v>YDUQS Participações S.A.</v>
    <v>YDUQS Participações S.A.</v>
    <v>16.440000000000001</v>
    <v>16.53</v>
    <v>Avenida Venezuela 43, 6 andar, Saude, RIO DE JANEIRO, RIO DE JANEIRO, 20.081-311 BR</v>
    <v>School, College &amp; University</v>
    <v>YDUQ3</v>
    <v>Ações</v>
    <v>YDUQS Participações S.A. (BVMF:YDUQ3)</v>
    <v>-0.24</v>
    <v>-1.4311000000000001E-2</v>
    <v>3086100</v>
  </rv>
  <rv s="2">
    <v>631</v>
  </rv>
  <rv s="0">
    <v>https://www.bing.com/financeapi/forcetrigger?t=bvs1lh&amp;q=BVMF%3aJSLG3&amp;form=skydnc</v>
    <v>Learn more on Bing</v>
  </rv>
  <rv s="7">
    <v>pt-BR</v>
    <v>bvs1lh</v>
    <v>268435456</v>
    <v>1</v>
    <v>Da plataforma Refinitiv</v>
    <v>14</v>
    <v>15</v>
    <v>JSL S.A. (BVMF:JSLG3)</v>
    <v>12</v>
    <v>16</v>
    <v>Finance</v>
    <v>5</v>
    <v>9.82</v>
    <v>5</v>
    <v>BVMF</v>
    <v>286431100</v>
    <v>6.24</v>
    <v>1969</v>
    <v>6.02</v>
    <v>1.4588000000000001</v>
    <v>B3 - Brazil Stock Exchange</v>
    <v>1724315221</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6.19</v>
    <v>28000</v>
    <v>45821.958333333336</v>
    <v>633</v>
    <v>761890</v>
    <v>BRL</v>
    <v>JSL S.A.</v>
    <v>JSL S.A.</v>
    <v>6.21</v>
    <v>6.02</v>
    <v>Rua Doutor Renato Paes de Barros, 1017, Conjunto 91,ED. Corporate Park, Itaim Bibi, SAO PAULO, SAO PAULO, 04.530-001 BR</v>
    <v>Freight &amp; Logistics Services</v>
    <v>JSLG3</v>
    <v>Ações</v>
    <v>JSL S.A. (BVMF:JSLG3)</v>
    <v>-0.17</v>
    <v>-2.7463999999999999E-2</v>
    <v>386800</v>
  </rv>
  <rv s="2">
    <v>634</v>
  </rv>
  <rv s="0">
    <v>https://www.bing.com/financeapi/forcetrigger?t=c337yc&amp;q=BVMF%3aONCO3&amp;form=skydnc</v>
    <v>Learn more on Bing</v>
  </rv>
  <rv s="8">
    <v>pt-BR</v>
    <v>c337yc</v>
    <v>268435456</v>
    <v>1</v>
    <v>Da plataforma Refinitiv</v>
    <v>17</v>
    <v>18</v>
    <v>Oncoclínicas do Brasil Serviços Médicos S.A. (BVMF:ONCO3)</v>
    <v>12</v>
    <v>19</v>
    <v>Finance</v>
    <v>5</v>
    <v>8.36</v>
    <v>1.74</v>
    <v>BVMF</v>
    <v>651756300</v>
    <v>4.88</v>
    <v>2010</v>
    <v>4.43</v>
    <v>1.3976</v>
    <v>B3 - Brazil Stock Exchange</v>
    <v>2998078980</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4.55</v>
    <v>45821.958333333336</v>
    <v>636</v>
    <v>1167150</v>
    <v>BRL</v>
    <v>Oncoclínicas do Brasil Serviços Médicos S.A.</v>
    <v>Oncoclínicas do Brasil Serviços Médicos S.A.</v>
    <v>4.53</v>
    <v>4.5999999999999996</v>
    <v>Avenida Presidente Juscelino Kubitschek, n 510 2 andar, Vila Nova Conceicao, SAO PAULO, SAO PAULO, 04.543-906 BR</v>
    <v>Healthcare Providers &amp; Services</v>
    <v>ONCO3</v>
    <v>Ações</v>
    <v>Oncoclínicas do Brasil Serviços Médicos S.A. (BVMF:ONCO3)</v>
    <v>0.05</v>
    <v>1.0989000000000001E-2</v>
    <v>2635400</v>
  </rv>
  <rv s="2">
    <v>637</v>
  </rv>
  <rv s="0">
    <v>https://www.bing.com/financeapi/forcetrigger?t=apltk2&amp;q=BVMF%3aAALR3&amp;form=skydnc</v>
    <v>Learn more on Bing</v>
  </rv>
  <rv s="8">
    <v>pt-BR</v>
    <v>apltk2</v>
    <v>268435456</v>
    <v>1</v>
    <v>Da plataforma Refinitiv</v>
    <v>17</v>
    <v>18</v>
    <v>ALLIANÇA SAÚDE E PARTICIPAÇÕES S.A. (BVMF:AALR3)</v>
    <v>12</v>
    <v>19</v>
    <v>Finance</v>
    <v>5</v>
    <v>17.32</v>
    <v>4.6900000000000004</v>
    <v>BVMF</v>
    <v>152359500</v>
    <v>5.01</v>
    <v>1992</v>
    <v>4.8099999999999996</v>
    <v>0.89970000000000006</v>
    <v>B3 - Brazil Stock Exchange</v>
    <v>758750310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4.95</v>
    <v>45821.958333333336</v>
    <v>639</v>
    <v>80010</v>
    <v>BRL</v>
    <v>ALLIANÇA SAÚDE E PARTICIPAÇÕES S.A.</v>
    <v>ALLIANÇA SAÚDE E PARTICIPAÇÕES S.A.</v>
    <v>4.8600000000000003</v>
    <v>4.9800000000000004</v>
    <v>Avenida Presidente Juscelino Kubitschek, 1830, Sala 111 - Bloco 1, Vila Nova Conceicao, SAO PAULO, SAO PAULO, 04.543-900 BR</v>
    <v>Healthcare Providers &amp; Services</v>
    <v>AALR3</v>
    <v>Ações</v>
    <v>ALLIANÇA SAÚDE E PARTICIPAÇÕES S.A. (BVMF:AALR3)</v>
    <v>0.03</v>
    <v>6.0609999999999995E-3</v>
    <v>38300</v>
  </rv>
  <rv s="2">
    <v>640</v>
  </rv>
  <rv s="0">
    <v>https://www.bing.com/financeapi/forcetrigger?t=apmpqh&amp;q=BVMF%3aHBOR3&amp;form=skydnc</v>
    <v>Learn more on Bing</v>
  </rv>
  <rv s="7">
    <v>pt-BR</v>
    <v>apmpqh</v>
    <v>268435456</v>
    <v>1</v>
    <v>Da plataforma Refinitiv</v>
    <v>14</v>
    <v>15</v>
    <v>HELBOR EMPREENDIMENTOS S.A. (BVMF:HBOR3)</v>
    <v>12</v>
    <v>16</v>
    <v>Finance</v>
    <v>5</v>
    <v>3.2</v>
    <v>1.24</v>
    <v>BVMF</v>
    <v>133851100</v>
    <v>2.99</v>
    <v>1977</v>
    <v>2.79</v>
    <v>2.0438999999999998</v>
    <v>B3 - Brazil Stock Exchange</v>
    <v>373444569</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3.04</v>
    <v>183</v>
    <v>45821.958333333336</v>
    <v>642</v>
    <v>1508780</v>
    <v>BRL</v>
    <v>HELBOR EMPREENDIMENTOS S.A.</v>
    <v>HELBOR EMPREENDIMENTOS S.A.</v>
    <v>2.99</v>
    <v>2.79</v>
    <v>Av. Vereador Narciso Yague Guimaraes, N 1145,15 Andar, Jardim Armenia, MOGI DAS CRUZES, SAO PAULO, 08.780-500 BR</v>
    <v>Real Estate Operations</v>
    <v>HBOR3</v>
    <v>Ações</v>
    <v>HELBOR EMPREENDIMENTOS S.A. (BVMF:HBOR3)</v>
    <v>-0.25</v>
    <v>-8.2236999999999991E-2</v>
    <v>2028500</v>
  </rv>
  <rv s="2">
    <v>643</v>
  </rv>
  <rv s="0">
    <v>https://www.bing.com/financeapi/forcetrigger?t=apmbxm&amp;q=BVMF%3aCRPG5&amp;form=skydnc</v>
    <v>Learn more on Bing</v>
  </rv>
  <rv s="8">
    <v>pt-BR</v>
    <v>apmbxm</v>
    <v>268435456</v>
    <v>1</v>
    <v>Da plataforma Refinitiv</v>
    <v>17</v>
    <v>18</v>
    <v>Tronox Pigmentos do Brasil SA (BVMF:CRPG5)</v>
    <v>12</v>
    <v>19</v>
    <v>Finance</v>
    <v>5</v>
    <v>30.44</v>
    <v>18</v>
    <v>BVMF</v>
    <v>29018750</v>
    <v>19.149999999999999</v>
    <v>1966</v>
    <v>18.559999999999999</v>
    <v>0.76700000000000002</v>
    <v>B3 - Brazil Stock Exchange</v>
    <v>578165600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18.559999999999999</v>
    <v>45821.958333333336</v>
    <v>645</v>
    <v>3970</v>
    <v>BRL</v>
    <v>Tronox Pigmentos do Brasil SA</v>
    <v>Tronox Pigmentos do Brasil SA</v>
    <v>18.98</v>
    <v>19.14</v>
    <v>Rodovia Ba 099 Km 20 Centro, Abrantes, CAMACARI, BAHIA, 42.840-000 BR</v>
    <v>Chemicals</v>
    <v>CRPG5</v>
    <v>Ações</v>
    <v>Tronox Pigmentos do Brasil SA (BVMF:CRPG5)</v>
    <v>0.57999999999999996</v>
    <v>3.125E-2</v>
    <v>1300</v>
  </rv>
  <rv s="2">
    <v>646</v>
  </rv>
  <rv s="0">
    <v>https://www.bing.com/financeapi/forcetrigger?t=apmvrw&amp;q=BVMF%3aLOGN3&amp;form=skydnc</v>
    <v>Learn more on Bing</v>
  </rv>
  <rv s="7">
    <v>pt-BR</v>
    <v>apmvrw</v>
    <v>268435456</v>
    <v>1</v>
    <v>Da plataforma Refinitiv</v>
    <v>14</v>
    <v>15</v>
    <v>LOG-IN LOGISTICA INTERMODAL S.A. (BVMF:LOGN3)</v>
    <v>12</v>
    <v>16</v>
    <v>Finance</v>
    <v>5</v>
    <v>43.46</v>
    <v>19.25</v>
    <v>BVMF</v>
    <v>107306500</v>
    <v>25.55</v>
    <v>1973</v>
    <v>25.4</v>
    <v>0.91620000000000001</v>
    <v>B3 - Brazil Stock Exchange</v>
    <v>2737388815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25.58</v>
    <v>750</v>
    <v>45821.958333333336</v>
    <v>648</v>
    <v>10620</v>
    <v>BRL</v>
    <v>LOG-IN LOGISTICA INTERMODAL S.A.</v>
    <v>LOG-IN LOGISTICA INTERMODAL S.A.</v>
    <v>25.51</v>
    <v>25.51</v>
    <v>Rua do Passeio, 78 12 andar - 1201, Centro, RIO DE JANEIRO, RIO DE JANEIRO, 20.021-290 BR</v>
    <v>Freight &amp; Logistics Services</v>
    <v>LOGN3</v>
    <v>Ações</v>
    <v>LOG-IN LOGISTICA INTERMODAL S.A. (BVMF:LOGN3)</v>
    <v>-7.0000000000000007E-2</v>
    <v>-2.7369999999999998E-3</v>
    <v>7300</v>
  </rv>
  <rv s="2">
    <v>649</v>
  </rv>
  <rv s="0">
    <v>https://www.bing.com/financeapi/forcetrigger?t=bxgk6h&amp;q=BVMF%3aVAMO3&amp;form=skydnc</v>
    <v>Learn more on Bing</v>
  </rv>
  <rv s="7">
    <v>pt-BR</v>
    <v>bxgk6h</v>
    <v>268435456</v>
    <v>1</v>
    <v>Da plataforma Refinitiv</v>
    <v>14</v>
    <v>15</v>
    <v>Vamos Locação de Caminhões, Máquinas e Equipamentos S.A. (BVMF:VAMO3)</v>
    <v>12</v>
    <v>16</v>
    <v>Finance</v>
    <v>5</v>
    <v>8.3000000000000007</v>
    <v>3.54</v>
    <v>BVMF</v>
    <v>1081033000</v>
    <v>4.79</v>
    <v>2015</v>
    <v>4.57</v>
    <v>1.2801</v>
    <v>B3 - Brazil Stock Exchange</v>
    <v>5145715000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4.76</v>
    <v>2291</v>
    <v>45821.958333333336</v>
    <v>651</v>
    <v>13974650</v>
    <v>BRL</v>
    <v>Vamos Locação de Caminhões, Máquinas e Equipamentos S.A.</v>
    <v>Vamos Locação de Caminhões, Máquinas e Equipamentos S.A.</v>
    <v>4.6100000000000003</v>
    <v>4.6399999999999997</v>
    <v>Rua Doutor Renato Paes de Barros, 1017, 6 andar, Itaim Bibi, SAO PAULO, SAO PAULO, 04.530-001 BR</v>
    <v>Freight &amp; Logistics Services</v>
    <v>VAMO3</v>
    <v>Ações</v>
    <v>Vamos Locação de Caminhões, Máquinas e Equipamentos S.A. (BVMF:VAMO3)</v>
    <v>-0.12</v>
    <v>-2.521E-2</v>
    <v>11011100</v>
  </rv>
  <rv s="2">
    <v>652</v>
  </rv>
  <rv s="0">
    <v>https://www.bing.com/financeapi/forcetrigger?t=apmsww&amp;q=BVMF%3aJHSF3&amp;form=skydnc</v>
    <v>Learn more on Bing</v>
  </rv>
  <rv s="8">
    <v>pt-BR</v>
    <v>apmsww</v>
    <v>268435456</v>
    <v>1</v>
    <v>Da plataforma Refinitiv</v>
    <v>17</v>
    <v>18</v>
    <v>JHS F Participações S.A (BVMF:JHSF3)</v>
    <v>12</v>
    <v>19</v>
    <v>Finance</v>
    <v>5</v>
    <v>5.47</v>
    <v>3.38</v>
    <v>BVMF</v>
    <v>681322800</v>
    <v>5.29</v>
    <v>2006</v>
    <v>5.16</v>
    <v>1.6369</v>
    <v>B3 - Brazil Stock Exchange</v>
    <v>3563318244</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5.3</v>
    <v>45821.837500092188</v>
    <v>654</v>
    <v>3442510</v>
    <v>BRL</v>
    <v>JHS F Participações S.A</v>
    <v>JHS F Participações S.A</v>
    <v>5.28</v>
    <v>5.23</v>
    <v>Avenida Alcides Sangirardi s/n - 301 Usina SP Espaco C.01.01, Cidade Jardim, SAO PAULO, SAO PAULO, 05.672-015 BR</v>
    <v>Real Estate Operations</v>
    <v>JHSF3</v>
    <v>Ações</v>
    <v>JHS F Participações S.A (BVMF:JHSF3)</v>
    <v>-7.0000000000000007E-2</v>
    <v>-1.3207999999999999E-2</v>
    <v>1764300</v>
  </rv>
  <rv s="2">
    <v>655</v>
  </rv>
  <rv s="0">
    <v>https://www.bing.com/financeapi/forcetrigger?t=apmtf2&amp;q=BVMF%3aSIMH3&amp;form=skydnc</v>
    <v>Learn more on Bing</v>
  </rv>
  <rv s="7">
    <v>pt-BR</v>
    <v>apmtf2</v>
    <v>268435456</v>
    <v>1</v>
    <v>Da plataforma Refinitiv</v>
    <v>14</v>
    <v>15</v>
    <v>SIMPAR S.A. (BVMF:SIMH3)</v>
    <v>12</v>
    <v>16</v>
    <v>Finance</v>
    <v>5</v>
    <v>7.05</v>
    <v>2.95</v>
    <v>BVMF</v>
    <v>873040500</v>
    <v>5.67</v>
    <v>2005</v>
    <v>5.41</v>
    <v>1.6417999999999999</v>
    <v>B3 - Brazil Stock Exchange</v>
    <v>4819183560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5.71</v>
    <v>56000</v>
    <v>45821.958333333336</v>
    <v>657</v>
    <v>5895200</v>
    <v>BRL</v>
    <v>SIMPAR S.A.</v>
    <v>SIMPAR S.A.</v>
    <v>5.55</v>
    <v>5.52</v>
    <v>Rua Doutor Renato Paes de Barros, 1017, 10 andar, cj. 101, Itaim Bibi, SAO PAULO, SAO PAULO, 04.530-001 BR</v>
    <v>Freight &amp; Logistics Services</v>
    <v>SIMH3</v>
    <v>Ações</v>
    <v>SIMPAR S.A. (BVMF:SIMH3)</v>
    <v>-0.19</v>
    <v>-3.3274999999999999E-2</v>
    <v>4523900</v>
  </rv>
  <rv s="2">
    <v>658</v>
  </rv>
  <rv s="0">
    <v>https://www.bing.com/financeapi/forcetrigger?t=apmp9c&amp;q=BVMF%3aGUAR3&amp;form=skydnc</v>
    <v>Learn more on Bing</v>
  </rv>
  <rv s="7">
    <v>pt-BR</v>
    <v>apmp9c</v>
    <v>268435456</v>
    <v>1</v>
    <v>Da plataforma Refinitiv</v>
    <v>14</v>
    <v>15</v>
    <v>Guararapes Confecções S/A (BVMF:GUAR3)</v>
    <v>12</v>
    <v>16</v>
    <v>Finance</v>
    <v>5</v>
    <v>9.7100000000000009</v>
    <v>5.56</v>
    <v>BVMF</v>
    <v>499200000</v>
    <v>8.0500000000000007</v>
    <v>1956</v>
    <v>7.87</v>
    <v>2.1248</v>
    <v>B3 - Brazil Stock Exchange</v>
    <v>3998592000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8.14</v>
    <v>31919</v>
    <v>45821.958333333336</v>
    <v>660</v>
    <v>893180</v>
    <v>BRL</v>
    <v>Guararapes Confecções S/A</v>
    <v>Guararapes Confecções S/A</v>
    <v>8.0500000000000007</v>
    <v>8.01</v>
    <v>Rodovia BR 101 Norte, n 9.000, Anexo Guararapes Confeccoes, N. Sra. Apresentacao, NATAL, RIO GRANDE DO NORTE, 59.115-900 BR</v>
    <v>Specialty Retailers</v>
    <v>GUAR3</v>
    <v>Ações</v>
    <v>Guararapes Confecções S/A (BVMF:GUAR3)</v>
    <v>-0.13</v>
    <v>-1.5970999999999999E-2</v>
    <v>420600</v>
  </rv>
  <rv s="2">
    <v>661</v>
  </rv>
  <rv s="0">
    <v>https://www.bing.com/financeapi/forcetrigger?t=apnc27&amp;q=BVMF%3aSGPS3&amp;form=skydnc</v>
    <v>Learn more on Bing</v>
  </rv>
  <rv s="6">
    <v>pt-BR</v>
    <v>apnc27</v>
    <v>268435456</v>
    <v>1</v>
    <v>Da plataforma Refinitiv</v>
    <v>10</v>
    <v>11</v>
    <v>SPRINGS GLOBAL PARTICIPACOES S.A. EM RECUPERACAO JUDICIAL (BVMF:SGPS3)</v>
    <v>12</v>
    <v>13</v>
    <v>Finance</v>
    <v>5</v>
    <v>2.34</v>
    <v>1.48</v>
    <v>BVMF</v>
    <v>10000000</v>
    <v>1.64</v>
    <v>2005</v>
    <v>1.64</v>
    <v>1.9915</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663</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664</v>
  </rv>
  <rv s="0">
    <v>https://www.bing.com/financeapi/forcetrigger?t=apmuk2&amp;q=BVMF%3aCOGN3&amp;form=skydnc</v>
    <v>Learn more on Bing</v>
  </rv>
  <rv s="7">
    <v>pt-BR</v>
    <v>apmuk2</v>
    <v>268435456</v>
    <v>1</v>
    <v>Da plataforma Refinitiv</v>
    <v>14</v>
    <v>15</v>
    <v>COGNA EDUCAÇÃO S.A. (BVMF:COGN3)</v>
    <v>12</v>
    <v>16</v>
    <v>Finance</v>
    <v>5</v>
    <v>3.19</v>
    <v>0.95</v>
    <v>BVMF</v>
    <v>1876606000</v>
    <v>2.85</v>
    <v>1998</v>
    <v>2.75</v>
    <v>1.9965999999999999</v>
    <v>B3 - Brazil Stock Exchange</v>
    <v>5235730740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2.88</v>
    <v>26933</v>
    <v>45821.958333333336</v>
    <v>666</v>
    <v>42609090</v>
    <v>BRL</v>
    <v>COGNA EDUCAÇÃO S.A.</v>
    <v>COGNA EDUCAÇÃO S.A.</v>
    <v>2.84</v>
    <v>2.79</v>
    <v>Rua dos Guajajaras, n 591 4 andar, sala 1, Lourdes, BELO HORIZONTE, MINAS GERAIS, 30.180-101 BR</v>
    <v>School, College &amp; University</v>
    <v>COGN3</v>
    <v>Ações</v>
    <v>COGNA EDUCAÇÃO S.A. (BVMF:COGN3)</v>
    <v>-0.09</v>
    <v>-3.125E-2</v>
    <v>50240600</v>
  </rv>
  <rv s="2">
    <v>667</v>
  </rv>
  <rv s="0">
    <v>https://www.bing.com/financeapi/forcetrigger?t=apn2nm&amp;q=BVMF%3aOIBR4&amp;form=skydnc</v>
    <v>Learn more on Bing</v>
  </rv>
  <rv s="7">
    <v>pt-BR</v>
    <v>apn2nm</v>
    <v>268435456</v>
    <v>1</v>
    <v>Da plataforma Refinitiv</v>
    <v>14</v>
    <v>15</v>
    <v>Oi S.A. – Em Recuperação Judicial (BVMF:OIBR4)</v>
    <v>12</v>
    <v>16</v>
    <v>Finance</v>
    <v>5</v>
    <v>16.940000000000001</v>
    <v>5.65</v>
    <v>BVMF</v>
    <v>330121700</v>
    <v>9.32</v>
    <v>1963</v>
    <v>8.58</v>
    <v>1.7844</v>
    <v>B3 - Brazil Stock Exchange</v>
    <v>254553400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9.33</v>
    <v>2600</v>
    <v>45821.958333333336</v>
    <v>669</v>
    <v>24640</v>
    <v>BRL</v>
    <v>Oi S.A. – Em Recuperação Judicial</v>
    <v>Oi S.A. – Em Recuperação Judicial</v>
    <v>9.26</v>
    <v>8.9</v>
    <v>Rua do Lavradio, 71,2 andar, Centro, RIO DE JANEIRO, RIO DE JANEIRO, 20.230-070 BR</v>
    <v>Telecommunications Services</v>
    <v>OIBR4</v>
    <v>Ações</v>
    <v>Oi S.A. – Em Recuperação Judicial (BVMF:OIBR4)</v>
    <v>-0.43</v>
    <v>-4.6087999999999997E-2</v>
    <v>74800</v>
  </rv>
  <rv s="2">
    <v>670</v>
  </rv>
  <rv s="0">
    <v>https://www.bing.com/financeapi/forcetrigger?t=c3an52&amp;q=BVMF%3aVITT3&amp;form=skydnc</v>
    <v>Learn more on Bing</v>
  </rv>
  <rv s="7">
    <v>pt-BR</v>
    <v>c3an52</v>
    <v>268435456</v>
    <v>1</v>
    <v>Da plataforma Refinitiv</v>
    <v>14</v>
    <v>15</v>
    <v>VITTIA S.A. (BVMF:VITT3)</v>
    <v>12</v>
    <v>16</v>
    <v>Finance</v>
    <v>5</v>
    <v>6.28</v>
    <v>4.42</v>
    <v>BVMF</v>
    <v>150314000</v>
    <v>4.62</v>
    <v>1971</v>
    <v>4.42</v>
    <v>1.0291999999999999</v>
    <v>B3 - Brazil Stock Exchange</v>
    <v>674909860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4.62</v>
    <v>1169</v>
    <v>45821.958333333336</v>
    <v>672</v>
    <v>158810</v>
    <v>BRL</v>
    <v>VITTIA S.A.</v>
    <v>VITTIA S.A.</v>
    <v>4.62</v>
    <v>4.49</v>
    <v>Av. MarginAvenida Marginal Esquerda, 1.000al Esquerda, 1.000, Distrito Industrial, Sao Joaquim da Barra, SAO PAULO, 14.600-000 BR</v>
    <v>Chemicals</v>
    <v>VITT3</v>
    <v>Ações</v>
    <v>VITTIA S.A. (BVMF:VITT3)</v>
    <v>-0.13</v>
    <v>-2.8138999999999997E-2</v>
    <v>368900</v>
  </rv>
  <rv s="2">
    <v>673</v>
  </rv>
  <rv s="0">
    <v>https://www.bing.com/financeapi/forcetrigger?t=apn7bh&amp;q=BVMF%3aPTBL3&amp;form=skydnc</v>
    <v>Learn more on Bing</v>
  </rv>
  <rv s="7">
    <v>pt-BR</v>
    <v>apn7bh</v>
    <v>268435456</v>
    <v>1</v>
    <v>Da plataforma Refinitiv</v>
    <v>14</v>
    <v>15</v>
    <v>PBG S/A (BVMF:PTBL3)</v>
    <v>12</v>
    <v>16</v>
    <v>Finance</v>
    <v>5</v>
    <v>5.55</v>
    <v>3.25</v>
    <v>BVMF</v>
    <v>140986900</v>
    <v>5.35</v>
    <v>1977</v>
    <v>5.13</v>
    <v>1.6924999999999999</v>
    <v>B3 - Brazil Stock Exchange</v>
    <v>741591094</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5.31</v>
    <v>2448</v>
    <v>45821.958333333336</v>
    <v>675</v>
    <v>478610</v>
    <v>BRL</v>
    <v>PBG S/A</v>
    <v>PBG S/A</v>
    <v>5.32</v>
    <v>5.26</v>
    <v>Sc-401 4756, Saco Grande, FLORIANOPOLIS, SANTA CATARINA, 88.032-005 BR</v>
    <v>Homebuilding &amp; Construction Supplies</v>
    <v>PTBL3</v>
    <v>Ações</v>
    <v>PBG S/A (BVMF:PTBL3)</v>
    <v>-0.05</v>
    <v>-9.4160000000000008E-3</v>
    <v>245700</v>
  </rv>
  <rv s="2">
    <v>676</v>
  </rv>
  <rv s="0">
    <v>https://www.bing.com/financeapi/forcetrigger?t=c1c2vh&amp;q=BVMF%3aVVEO3&amp;form=skydnc</v>
    <v>Learn more on Bing</v>
  </rv>
  <rv s="7">
    <v>pt-BR</v>
    <v>c1c2vh</v>
    <v>268435456</v>
    <v>1</v>
    <v>Da plataforma Refinitiv</v>
    <v>14</v>
    <v>15</v>
    <v>CM Hospitalar S.A. (BVMF:VVEO3)</v>
    <v>12</v>
    <v>16</v>
    <v>Finance</v>
    <v>5</v>
    <v>3.17</v>
    <v>1.07</v>
    <v>BVMF</v>
    <v>322820600</v>
    <v>1.24</v>
    <v>2010</v>
    <v>1.2</v>
    <v>0.97699999999999998</v>
    <v>B3 - Brazil Stock Exchange</v>
    <v>387384720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1.24</v>
    <v>6000</v>
    <v>45821.958333333336</v>
    <v>678</v>
    <v>983710</v>
    <v>BRL</v>
    <v>CM Hospitalar S.A.</v>
    <v>CM Hospitalar S.A.</v>
    <v>1.24</v>
    <v>1.2</v>
    <v>Avenida Luiz Maggioni, n 2.727, Distrito Empresarial, RIBEIRAO PRETO, SAO PAULO, 14.072-055 BR</v>
    <v>Pharmaceuticals</v>
    <v>VVEO3</v>
    <v>Ações</v>
    <v>CM Hospitalar S.A. (BVMF:VVEO3)</v>
    <v>-0.04</v>
    <v>-3.2258000000000002E-2</v>
    <v>657300</v>
  </rv>
  <rv s="2">
    <v>679</v>
  </rv>
  <rv s="0">
    <v>https://www.bing.com/financeapi/forcetrigger?t=bxi3ec&amp;q=BVMF%3aHBRE3&amp;form=skydnc</v>
    <v>Learn more on Bing</v>
  </rv>
  <rv s="8">
    <v>pt-BR</v>
    <v>bxi3ec</v>
    <v>268435456</v>
    <v>1</v>
    <v>Da plataforma Refinitiv</v>
    <v>17</v>
    <v>18</v>
    <v>HBR Realty Empreendimentos Imobiliários S.A. (BVMF:HBRE3)</v>
    <v>12</v>
    <v>19</v>
    <v>Finance</v>
    <v>5</v>
    <v>6.11</v>
    <v>2.5499999999999998</v>
    <v>BVMF</v>
    <v>103189000</v>
    <v>3.67</v>
    <v>2011</v>
    <v>3.45</v>
    <v>1.4432</v>
    <v>B3 - Brazil Stock Exchange</v>
    <v>364257170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3.55</v>
    <v>45821.958333333336</v>
    <v>681</v>
    <v>305700</v>
    <v>BRL</v>
    <v>HBR Realty Empreendimentos Imobiliários S.A.</v>
    <v>HBR Realty Empreendimentos Imobiliários S.A.</v>
    <v>3.56</v>
    <v>3.53</v>
    <v>Avenida Vereador Narciso Yague Guimaraes, 1.145, 2 andar, Jardim Armenia, Mogi Das Cruzes, SAO PAULO, 08.780-500 BR</v>
    <v>Real Estate Operations</v>
    <v>HBRE3</v>
    <v>Ações</v>
    <v>HBR Realty Empreendimentos Imobiliários S.A. (BVMF:HBRE3)</v>
    <v>-0.02</v>
    <v>-5.6340000000000001E-3</v>
    <v>606100</v>
  </rv>
  <rv s="2">
    <v>682</v>
  </rv>
  <rv s="0">
    <v>https://www.bing.com/financeapi/forcetrigger?t=apn9a2&amp;q=BVMF%3aRDNI3&amp;form=skydnc</v>
    <v>Learn more on Bing</v>
  </rv>
  <rv s="7">
    <v>pt-BR</v>
    <v>apn9a2</v>
    <v>268435456</v>
    <v>1</v>
    <v>Da plataforma Refinitiv</v>
    <v>14</v>
    <v>15</v>
    <v>RNI Negócios Imobiliários S.A. (BVMF:RDNI3)</v>
    <v>12</v>
    <v>16</v>
    <v>Finance</v>
    <v>5</v>
    <v>3.53</v>
    <v>2.02</v>
    <v>BVMF</v>
    <v>43769810</v>
    <v>2.59</v>
    <v>1991</v>
    <v>2.5</v>
    <v>0.70040000000000002</v>
    <v>B3 - Brazil Stock Exchange</v>
    <v>110299921</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2.59</v>
    <v>296</v>
    <v>45821.958333333336</v>
    <v>684</v>
    <v>6980</v>
    <v>BRL</v>
    <v>RNI Negócios Imobiliários S.A.</v>
    <v>RNI Negócios Imobiliários S.A.</v>
    <v>2.59</v>
    <v>2.52</v>
    <v>Av. Francisco das Chagas de Oliveira, 2.500, SAO JOSE DO RIO PRETO, SAO PAULO, 15.085-485 BR</v>
    <v>Real Estate Operations</v>
    <v>RDNI3</v>
    <v>Ações</v>
    <v>RNI Negócios Imobiliários S.A. (BVMF:RDNI3)</v>
    <v>-7.0000000000000007E-2</v>
    <v>-2.7027000000000002E-2</v>
    <v>4500</v>
  </rv>
  <rv s="2">
    <v>685</v>
  </rv>
  <rv s="0">
    <v>https://www.bing.com/financeapi/forcetrigger?t=aywh77&amp;q=BVMF%3aPCAR3&amp;form=skydnc</v>
    <v>Learn more on Bing</v>
  </rv>
  <rv s="7">
    <v>pt-BR</v>
    <v>aywh77</v>
    <v>268435456</v>
    <v>1</v>
    <v>Da plataforma Refinitiv</v>
    <v>14</v>
    <v>15</v>
    <v>Companhia Brasileira de Distribuição S.A. (BVMF:PCAR3)</v>
    <v>12</v>
    <v>16</v>
    <v>Finance</v>
    <v>5</v>
    <v>4.95</v>
    <v>2.1800000000000002</v>
    <v>BVMF</v>
    <v>490286400</v>
    <v>3.1</v>
    <v>1981</v>
    <v>3.04</v>
    <v>1.9753000000000001</v>
    <v>B3 - Brazil Stock Exchange</v>
    <v>1495373520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3.08</v>
    <v>110000</v>
    <v>45821.958333333336</v>
    <v>687</v>
    <v>5681150</v>
    <v>BRL</v>
    <v>Companhia Brasileira de Distribuição S.A.</v>
    <v>Companhia Brasileira de Distribuição S.A.</v>
    <v>3.06</v>
    <v>3.05</v>
    <v>Avenida Brigadeiro Luis Antonio, 3142, Jardim Paulista, SAO PAULO, SAO PAULO, 01.402-901 BR</v>
    <v>Food &amp; Drug Retailing</v>
    <v>PCAR3</v>
    <v>Ações</v>
    <v>Companhia Brasileira de Distribuição S.A. (BVMF:PCAR3)</v>
    <v>-0.03</v>
    <v>-9.7400000000000004E-3</v>
    <v>4114700</v>
  </rv>
  <rv s="2">
    <v>688</v>
  </rv>
  <rv s="0">
    <v>https://www.bing.com/financeapi/forcetrigger?t=bwihur&amp;q=BVMF%3aCASH3&amp;form=skydnc</v>
    <v>Learn more on Bing</v>
  </rv>
  <rv s="7">
    <v>pt-BR</v>
    <v>bwihur</v>
    <v>268435456</v>
    <v>1</v>
    <v>Da plataforma Refinitiv</v>
    <v>14</v>
    <v>15</v>
    <v>MÉLIUZ S.A. (BVMF:CASH3)</v>
    <v>12</v>
    <v>16</v>
    <v>Finance</v>
    <v>5</v>
    <v>10.89</v>
    <v>2.5299999999999998</v>
    <v>BVMF</v>
    <v>87173830</v>
    <v>7.41</v>
    <v>2011</v>
    <v>6.95</v>
    <v>1.8916999999999999</v>
    <v>B3 - Brazil Stock Exchange</v>
    <v>615447239</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7.43</v>
    <v>470</v>
    <v>45821.958333333336</v>
    <v>690</v>
    <v>3639040</v>
    <v>BRL</v>
    <v>MÉLIUZ S.A.</v>
    <v>MÉLIUZ S.A.</v>
    <v>7.38</v>
    <v>7.06</v>
    <v>Rua Jose Versolato, n 111-B Sala 3014, Bairro Carmo, Belo Horizonte, MINAS GERAIS, 30.310-030 BR</v>
    <v>Software &amp; IT Services</v>
    <v>CASH3</v>
    <v>Ações</v>
    <v>MÉLIUZ S.A. (BVMF:CASH3)</v>
    <v>-0.37</v>
    <v>-4.9798000000000002E-2</v>
    <v>7155800</v>
  </rv>
  <rv s="2">
    <v>691</v>
  </rv>
  <rv s="0">
    <v>https://www.bing.com/financeapi/forcetrigger?t=apmkcw&amp;q=BVMF%3aFHER3&amp;form=skydnc</v>
    <v>Learn more on Bing</v>
  </rv>
  <rv s="7">
    <v>pt-BR</v>
    <v>apmkcw</v>
    <v>268435456</v>
    <v>1</v>
    <v>Da plataforma Refinitiv</v>
    <v>14</v>
    <v>15</v>
    <v>FERTILIZANTES HERINGER S.A. (BVMF:FHER3)</v>
    <v>12</v>
    <v>16</v>
    <v>Finance</v>
    <v>5</v>
    <v>10.5</v>
    <v>3.03</v>
    <v>BVMF</v>
    <v>53857280</v>
    <v>4.24</v>
    <v>1968</v>
    <v>3.9</v>
    <v>0.49840000000000001</v>
    <v>B3 - Brazil Stock Exchange</v>
    <v>211659110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4.1500000000000004</v>
    <v>1466</v>
    <v>45821.958333333336</v>
    <v>693</v>
    <v>56720</v>
    <v>BRL</v>
    <v>FERTILIZANTES HERINGER S.A.</v>
    <v>FERTILIZANTES HERINGER S.A.</v>
    <v>4.24</v>
    <v>3.93</v>
    <v>Avenida Irene Karcher, 620, n/a, Betel, PAULINIA, SAO PAULO, 13.148-906 BR</v>
    <v>Chemicals</v>
    <v>FHER3</v>
    <v>Ações</v>
    <v>FERTILIZANTES HERINGER S.A. (BVMF:FHER3)</v>
    <v>-0.22</v>
    <v>-5.3011999999999997E-2</v>
    <v>50100</v>
  </rv>
  <rv s="2">
    <v>694</v>
  </rv>
  <rv s="0">
    <v>https://www.bing.com/financeapi/forcetrigger?t=apmngh&amp;q=BVMF%3aGFSA3&amp;form=skydnc</v>
    <v>Learn more on Bing</v>
  </rv>
  <rv s="7">
    <v>pt-BR</v>
    <v>apmngh</v>
    <v>268435456</v>
    <v>1</v>
    <v>Da plataforma Refinitiv</v>
    <v>14</v>
    <v>15</v>
    <v>Gafisa S.A. (BVMF:GFSA3)</v>
    <v>12</v>
    <v>16</v>
    <v>Finance</v>
    <v>5</v>
    <v>4.1399999999999997</v>
    <v>1.07</v>
    <v>BVMF</v>
    <v>134575600</v>
    <v>1.3</v>
    <v>1996</v>
    <v>1.22</v>
    <v>1.8241000000000001</v>
    <v>B3 - Brazil Stock Exchange</v>
    <v>166873744</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1.24</v>
    <v>295</v>
    <v>45821.958333333336</v>
    <v>696</v>
    <v>4732160</v>
    <v>BRL</v>
    <v>Gafisa S.A.</v>
    <v>Gafisa S.A.</v>
    <v>1.23</v>
    <v>1.24</v>
    <v>Av. Pres. Juscelino Kubitschek, 1830, conjunto comercial 32, 3 andar, Bloco 2, Itaim Bibi, SAO PAULO, SAO PAULO, 04.543-900 BR</v>
    <v>Real Estate Operations</v>
    <v>GFSA3</v>
    <v>Ações</v>
    <v>Gafisa S.A. (BVMF:GFSA3)</v>
    <v>0</v>
    <v>0</v>
    <v>5243200</v>
  </rv>
  <rv s="2">
    <v>697</v>
  </rv>
  <rv s="0">
    <v>https://www.bing.com/financeapi/forcetrigger?t=apmr52&amp;q=BVMF%3aHYPE3&amp;form=skydnc</v>
    <v>Learn more on Bing</v>
  </rv>
  <rv s="7">
    <v>pt-BR</v>
    <v>apmr52</v>
    <v>268435456</v>
    <v>1</v>
    <v>Da plataforma Refinitiv</v>
    <v>14</v>
    <v>15</v>
    <v>Hypera S.A. (BVMF:HYPE3)</v>
    <v>12</v>
    <v>16</v>
    <v>Finance</v>
    <v>5</v>
    <v>31.14</v>
    <v>16.11</v>
    <v>BVMF</v>
    <v>633420800</v>
    <v>28.15</v>
    <v>2001</v>
    <v>27</v>
    <v>1.1194</v>
    <v>B3 - Brazil Stock Exchange</v>
    <v>17609098240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27.53</v>
    <v>9000</v>
    <v>45821.958333333336</v>
    <v>699</v>
    <v>3239420</v>
    <v>BRL</v>
    <v>Hypera S.A.</v>
    <v>Hypera S.A.</v>
    <v>27</v>
    <v>27.8</v>
    <v>Rua Nova Cidade, 404, Vila Olimpia, SAO PAULO, SAO PAULO, 04.547-070 BR</v>
    <v>Pharmaceuticals</v>
    <v>HYPE3</v>
    <v>Ações</v>
    <v>Hypera S.A. (BVMF:HYPE3)</v>
    <v>0.27</v>
    <v>9.8069999999999997E-3</v>
    <v>5277900</v>
  </rv>
  <rv s="2">
    <v>700</v>
  </rv>
  <rv s="0">
    <v>https://www.bing.com/financeapi/forcetrigger?t=bwh3vh&amp;q=BVMF%3aENJU3&amp;form=skydnc</v>
    <v>Learn more on Bing</v>
  </rv>
  <rv s="7">
    <v>pt-BR</v>
    <v>bwh3vh</v>
    <v>268435456</v>
    <v>1</v>
    <v>Da plataforma Refinitiv</v>
    <v>14</v>
    <v>15</v>
    <v>ENJOEI S.A. (BVMF:ENJU3)</v>
    <v>12</v>
    <v>16</v>
    <v>Finance</v>
    <v>5</v>
    <v>2.35</v>
    <v>0.91</v>
    <v>BVMF</v>
    <v>205018000</v>
    <v>1.25</v>
    <v>2012</v>
    <v>1.18</v>
    <v>1.7826</v>
    <v>B3 - Brazil Stock Exchange</v>
    <v>246021600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1.25</v>
    <v>76</v>
    <v>45821.958333333336</v>
    <v>702</v>
    <v>1041500</v>
    <v>BRL</v>
    <v>ENJOEI S.A.</v>
    <v>ENJOEI S.A.</v>
    <v>1.25</v>
    <v>1.2</v>
    <v>Av. Presidente Juscelino Kubitschek, 1830 12 Andar, Torre 4, Vila Nova Conceicao, Sao Paulo, SAO PAULO, 04.543-900 BR</v>
    <v>Software &amp; IT Services</v>
    <v>ENJU3</v>
    <v>Ações</v>
    <v>ENJOEI S.A. (BVMF:ENJU3)</v>
    <v>-0.05</v>
    <v>-0.04</v>
    <v>527900</v>
  </rv>
  <rv s="2">
    <v>703</v>
  </rv>
  <rv s="0">
    <v>https://www.bing.com/financeapi/forcetrigger?t=c2yvmw&amp;q=BVMF%3aRAIZ4&amp;form=skydnc</v>
    <v>Learn more on Bing</v>
  </rv>
  <rv s="7">
    <v>pt-BR</v>
    <v>c2yvmw</v>
    <v>268435456</v>
    <v>1</v>
    <v>Da plataforma Refinitiv</v>
    <v>14</v>
    <v>15</v>
    <v>Raízen S.A. (BVMF:RAIZ4)</v>
    <v>12</v>
    <v>16</v>
    <v>Finance</v>
    <v>5</v>
    <v>3.4</v>
    <v>1.62</v>
    <v>BVMF</v>
    <v>1358937000</v>
    <v>1.89</v>
    <v>1961</v>
    <v>1.83</v>
    <v>1.1661999999999999</v>
    <v>B3 - Brazil Stock Exchange</v>
    <v>2486854710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1.89</v>
    <v>45417</v>
    <v>45821.958333333336</v>
    <v>705</v>
    <v>13800490</v>
    <v>BRL</v>
    <v>Raízen S.A.</v>
    <v>Raízen S.A.</v>
    <v>1.87</v>
    <v>1.83</v>
    <v>Avenida Afonso Arinos de Melo Franco, 222. Sala 321, Barra da Tijuca, RIO DE JANEIRO, RIO DE JANEIRO, 22.631-455 BR</v>
    <v>Oil &amp; Gas</v>
    <v>RAIZ4</v>
    <v>Ações</v>
    <v>Raízen S.A. (BVMF:RAIZ4)</v>
    <v>-0.06</v>
    <v>-3.1745999999999996E-2</v>
    <v>10244500</v>
  </rv>
  <rv s="2">
    <v>706</v>
  </rv>
  <rv s="0">
    <v>https://www.bing.com/financeapi/forcetrigger?t=aplygh&amp;q=BVMF%3aBBAS3&amp;form=skydnc</v>
    <v>Learn more on Bing</v>
  </rv>
  <rv s="7">
    <v>pt-BR</v>
    <v>aplygh</v>
    <v>268435456</v>
    <v>1</v>
    <v>Da plataforma Refinitiv</v>
    <v>14</v>
    <v>15</v>
    <v>Banco do Brasil S.A. (BVMF:BBAS3)</v>
    <v>12</v>
    <v>16</v>
    <v>Finance</v>
    <v>5</v>
    <v>29.49</v>
    <v>21.04</v>
    <v>BVMF</v>
    <v>5730834000</v>
    <v>21.65</v>
    <v>1808</v>
    <v>21.24</v>
    <v>0.95440000000000003</v>
    <v>B3 - Brazil Stock Exchange</v>
    <v>123728706060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21.42</v>
    <v>85953</v>
    <v>45821.958333333336</v>
    <v>708</v>
    <v>39595440</v>
    <v>BRL</v>
    <v>Banco do Brasil S.A.</v>
    <v>Banco do Brasil S.A.</v>
    <v>21.38</v>
    <v>21.59</v>
    <v>Saun Quadra 05, Lote B Ed. BB, Asa Norte, BRASILIA, DISTRITO FEDERAL, 70.040-912 BR</v>
    <v>Banking Services</v>
    <v>BBAS3</v>
    <v>Ações</v>
    <v>Banco do Brasil S.A. (BVMF:BBAS3)</v>
    <v>0.17</v>
    <v>7.9369999999999996E-3</v>
    <v>32987200</v>
  </rv>
  <rv s="2">
    <v>709</v>
  </rv>
  <rv s="0">
    <v>https://www.bing.com/financeapi/forcetrigger?t=apm5tc&amp;q=BVMF%3aEPAR3&amp;form=skydnc</v>
    <v>Learn more on Bing</v>
  </rv>
  <rv s="8">
    <v>pt-BR</v>
    <v>apm5tc</v>
    <v>268435456</v>
    <v>1</v>
    <v>Da plataforma Refinitiv</v>
    <v>17</v>
    <v>18</v>
    <v>EMBPAR PARTICIPAÇÕES S/A (BVMF:EPAR3)</v>
    <v>12</v>
    <v>19</v>
    <v>Finance</v>
    <v>5</v>
    <v>5.3</v>
    <v>3.51</v>
    <v>BVMF</v>
    <v>14860570</v>
    <v>5.19</v>
    <v>1974</v>
    <v>4.87</v>
    <v>0.55210000000000004</v>
    <v>B3 - Brazil Stock Exchange</v>
    <v>72965398</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4.91</v>
    <v>45821.958333333336</v>
    <v>711</v>
    <v>7360</v>
    <v>BRL</v>
    <v>EMBPAR PARTICIPAÇÕES S/A</v>
    <v>EMBPAR PARTICIPAÇÕES S/A</v>
    <v>5.19</v>
    <v>4.91</v>
    <v>Alameda Bom Pastor, 3700,Lote A, Sala 06, Barro Preto, SAO JOSE DOS PINHAIS, PARANA, 83.015-140 BR</v>
    <v>Automobiles &amp; Auto Parts</v>
    <v>EPAR3</v>
    <v>Ações</v>
    <v>EMBPAR PARTICIPAÇÕES S/A (BVMF:EPAR3)</v>
    <v>0</v>
    <v>0</v>
    <v>5900</v>
  </rv>
  <rv s="2">
    <v>712</v>
  </rv>
  <rv s="0">
    <v>https://www.bing.com/financeapi/forcetrigger?t=apm7dm&amp;q=BVMF%3aSYNE3&amp;form=skydnc</v>
    <v>Learn more on Bing</v>
  </rv>
  <rv s="8">
    <v>pt-BR</v>
    <v>apm7dm</v>
    <v>268435456</v>
    <v>1</v>
    <v>Da plataforma Refinitiv</v>
    <v>17</v>
    <v>18</v>
    <v>SYN prop e tech S.A. (BVMF:SYNE3)</v>
    <v>12</v>
    <v>19</v>
    <v>Finance</v>
    <v>5</v>
    <v>6.64</v>
    <v>3.22</v>
    <v>BVMF</v>
    <v>152644400</v>
    <v>5.72</v>
    <v>2007</v>
    <v>5.55</v>
    <v>0.73719999999999997</v>
    <v>B3 - Brazil Stock Exchange</v>
    <v>865493748</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5.75</v>
    <v>45821.958333333336</v>
    <v>714</v>
    <v>520060</v>
    <v>BRL</v>
    <v>SYN prop e tech S.A.</v>
    <v>SYN prop e tech S.A.</v>
    <v>5.68</v>
    <v>5.67</v>
    <v>Avenida Brigadeiro Faria Lima, 3.600 Conj. 141 e 142, Itaim Bibi, SAO PAULO, SAO PAULO, 04.538-132 BR</v>
    <v>Real Estate Operations</v>
    <v>SYNE3</v>
    <v>Ações</v>
    <v>SYN prop e tech S.A. (BVMF:SYNE3)</v>
    <v>-0.08</v>
    <v>-1.3913E-2</v>
    <v>325100</v>
  </rv>
  <rv s="2">
    <v>715</v>
  </rv>
  <rv s="0">
    <v>https://www.bing.com/financeapi/forcetrigger?t=apmz27&amp;q=BVMF%3aMRVE3&amp;form=skydnc</v>
    <v>Learn more on Bing</v>
  </rv>
  <rv s="7">
    <v>pt-BR</v>
    <v>apmz27</v>
    <v>268435456</v>
    <v>1</v>
    <v>Da plataforma Refinitiv</v>
    <v>14</v>
    <v>15</v>
    <v>MRV ENGENHARIA E PARTICIPACOES S.A. (BVMF:MRVE3)</v>
    <v>12</v>
    <v>16</v>
    <v>Finance</v>
    <v>5</v>
    <v>8.2200000000000006</v>
    <v>4.43</v>
    <v>BVMF</v>
    <v>562826700</v>
    <v>5.95</v>
    <v>2006</v>
    <v>5.76</v>
    <v>1.6288</v>
    <v>B3 - Brazil Stock Exchange</v>
    <v>3241881792</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5.9</v>
    <v>30000</v>
    <v>45821.958333333336</v>
    <v>717</v>
    <v>14164050</v>
    <v>BRL</v>
    <v>MRV ENGENHARIA E PARTICIPACOES S.A.</v>
    <v>MRV ENGENHARIA E PARTICIPACOES S.A.</v>
    <v>5.9</v>
    <v>5.76</v>
    <v>Avenida Professor Mario Werneck,621, Estoril, BELO HORIZONTE, MINAS GERAIS, 30.455-610 BR</v>
    <v>Real Estate Operations</v>
    <v>MRVE3</v>
    <v>Ações</v>
    <v>MRV ENGENHARIA E PARTICIPACOES S.A. (BVMF:MRVE3)</v>
    <v>-0.14000000000000001</v>
    <v>-2.3729E-2</v>
    <v>10520700</v>
  </rv>
  <rv s="2">
    <v>718</v>
  </rv>
  <rv s="0">
    <v>https://www.bing.com/financeapi/forcetrigger?t=apmypr&amp;q=BVMF%3aMOVI3&amp;form=skydnc</v>
    <v>Learn more on Bing</v>
  </rv>
  <rv s="7">
    <v>pt-BR</v>
    <v>apmypr</v>
    <v>268435456</v>
    <v>1</v>
    <v>Da plataforma Refinitiv</v>
    <v>14</v>
    <v>15</v>
    <v>Movida Participações S.A. (BVMF:MOVI3)</v>
    <v>12</v>
    <v>16</v>
    <v>Finance</v>
    <v>5</v>
    <v>7.98</v>
    <v>3.29</v>
    <v>BVMF</v>
    <v>347931500</v>
    <v>7.92</v>
    <v>2014</v>
    <v>7.66</v>
    <v>1.5515000000000001</v>
    <v>B3 - Brazil Stock Exchange</v>
    <v>2686031180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7.97</v>
    <v>6831</v>
    <v>45821.958333333336</v>
    <v>720</v>
    <v>6687850</v>
    <v>BRL</v>
    <v>Movida Participações S.A.</v>
    <v>Movida Participações S.A.</v>
    <v>7.9</v>
    <v>7.72</v>
    <v>Rua Doutor Renato Paes de Barros, 1017, Conjunto 91, Itaim Bibi, SAO PAULO, SAO PAULO, 04.530-001 BR</v>
    <v>Passenger Transportation Services</v>
    <v>MOVI3</v>
    <v>Ações</v>
    <v>Movida Participações S.A. (BVMF:MOVI3)</v>
    <v>-0.25</v>
    <v>-3.1368E-2</v>
    <v>4250600</v>
  </rv>
  <rv s="2">
    <v>721</v>
  </rv>
  <rv s="0">
    <v>https://www.bing.com/financeapi/forcetrigger?t=aplxmw&amp;q=BVMF%3aAZEV4&amp;form=skydnc</v>
    <v>Learn more on Bing</v>
  </rv>
  <rv s="8">
    <v>pt-BR</v>
    <v>aplxmw</v>
    <v>268435456</v>
    <v>1</v>
    <v>Da plataforma Refinitiv</v>
    <v>17</v>
    <v>18</v>
    <v>AZEVEDO &amp; TRAVASSOS S.A. (BVMF:AZEV4)</v>
    <v>12</v>
    <v>19</v>
    <v>Finance</v>
    <v>5</v>
    <v>1.91</v>
    <v>0.67</v>
    <v>BVMF</v>
    <v>592753700</v>
    <v>0.69</v>
    <v>1922</v>
    <v>0.68</v>
    <v>1.0085</v>
    <v>B3 - Brazil Stock Exchange</v>
    <v>224979100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0.68</v>
    <v>45821.958333333336</v>
    <v>723</v>
    <v>2310250</v>
    <v>BRL</v>
    <v>AZEVEDO &amp; TRAVASSOS S.A.</v>
    <v>AZEVEDO &amp; TRAVASSOS S.A.</v>
    <v>0.68</v>
    <v>0.69</v>
    <v>Rua Vicente Antonio de Oliveira 1050, Pirituba, SAO PAULO, SAO PAULO, 02.955-080 BR</v>
    <v>Construction &amp; Engineering</v>
    <v>AZEV4</v>
    <v>Ações</v>
    <v>AZEVEDO &amp; TRAVASSOS S.A. (BVMF:AZEV4)</v>
    <v>0.01</v>
    <v>1.4705999999999999E-2</v>
    <v>1008300</v>
  </rv>
  <rv s="2">
    <v>724</v>
  </rv>
  <rv s="0">
    <v>http://fr.wikipedia.org/wiki/Companhia_Siderúrgica_Nacional</v>
    <v>Wikipedia</v>
  </rv>
  <rv s="9">
    <v>357</v>
    <v>726</v>
  </rv>
  <rv s="10">
    <v>25</v>
    <v>https://www.bing.com/th?id=AMMS_e8b96267310f0adc32724679940e7adf&amp;qlt=95</v>
    <v>727</v>
    <v>0</v>
    <v>https://www.bing.com/images/search?form=xlimg&amp;q=companhia+sider%c3%bargica+nacional</v>
    <v>Image of Companhia Siderúrgica Nacional S. A.</v>
  </rv>
  <rv s="0">
    <v>https://www.bing.com/financeapi/forcetrigger?t=apmcoc&amp;q=BVMF%3aCSNA3&amp;form=skydnc</v>
    <v>Learn more on Bing</v>
  </rv>
  <rv s="11">
    <v>pt-BR</v>
    <v>apmcoc</v>
    <v>268435456</v>
    <v>1</v>
    <v>Da plataforma Refinitiv</v>
    <v>20</v>
    <v>21</v>
    <v>Companhia Siderúrgica Nacional S. A. (BVMF:CSNA3)</v>
    <v>23</v>
    <v>24</v>
    <v>Finance</v>
    <v>5</v>
    <v>13.18</v>
    <v>7.43</v>
    <v>BVMF</v>
    <v>1326094000</v>
    <v>8.26</v>
    <v>1941</v>
    <v>7.94</v>
    <v>1.4473</v>
    <v>B3 - Brazil Stock Exchange</v>
    <v>10529186360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8.2899999999999991</v>
    <v>24924</v>
    <v>45821.958333333336</v>
    <v>728</v>
    <v>729</v>
    <v>10237340</v>
    <v>BRL</v>
    <v>Companhia Siderúrgica Nacional S. A.</v>
    <v>Companhia Siderúrgica Nacional S. A.</v>
    <v>8.23</v>
    <v>7.94</v>
    <v>Av. Brigadeiro Faria Lima, 3400, 19 andar, Itaim Bibi, SAO PAULO, SAO PAULO, 04.538-132 BR</v>
    <v>Metals &amp; Mining</v>
    <v>CSNA3</v>
    <v>Ações</v>
    <v>Companhia Siderúrgica Nacional S. A. (BVMF:CSNA3)</v>
    <v>-0.35</v>
    <v>-4.2220000000000008E-2</v>
    <v>11598100</v>
  </rv>
  <rv s="2">
    <v>730</v>
  </rv>
  <rv s="0">
    <v>https://www.bing.com/financeapi/forcetrigger?t=apmdhw&amp;q=BVMF%3aCTNM4&amp;form=skydnc</v>
    <v>Learn more on Bing</v>
  </rv>
  <rv s="18">
    <v>pt-BR</v>
    <v>apmdhw</v>
    <v>268435456</v>
    <v>1</v>
    <v>Da plataforma Refinitiv</v>
    <v>44</v>
    <v>45</v>
    <v>Companhia de Tecidos Norte de Minas - COTEMINAS (BVMF:CTNM4)</v>
    <v>12</v>
    <v>46</v>
    <v>Finance</v>
    <v>5</v>
    <v>1.1000000000000001</v>
    <v>0.62</v>
    <v>BVMF</v>
    <v>30636460</v>
    <v>0.86</v>
    <v>1967</v>
    <v>0.86</v>
    <v>1.1884999999999999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732</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733</v>
  </rv>
  <rv s="0">
    <v>https://www.bing.com/financeapi/forcetrigger?t=c213gh&amp;q=BVMF%3aIFCM3&amp;form=skydnc</v>
    <v>Learn more on Bing</v>
  </rv>
  <rv s="7">
    <v>pt-BR</v>
    <v>c213gh</v>
    <v>268435456</v>
    <v>1</v>
    <v>Da plataforma Refinitiv</v>
    <v>14</v>
    <v>15</v>
    <v>Infracommerce CXAAS S.A (BVMF:IFCM3)</v>
    <v>12</v>
    <v>16</v>
    <v>Finance</v>
    <v>5</v>
    <v>0.41</v>
    <v>0.04</v>
    <v>BVMF</v>
    <v>1480408000</v>
    <v>7.0000000000000007E-2</v>
    <v>2020</v>
    <v>0.06</v>
    <v>2.5028999999999999</v>
    <v>B3 - Brazil Stock Exchange</v>
    <v>103628560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0.06</v>
    <v>2099</v>
    <v>45821.958333333336</v>
    <v>735</v>
    <v>11911170</v>
    <v>BRL</v>
    <v>Infracommerce CXAAS S.A</v>
    <v>Infracommerce CXAAS S.A</v>
    <v>7.0000000000000007E-2</v>
    <v>7.0000000000000007E-2</v>
    <v>Av das Nacoes Unidas, 12.901, 32 e 33 andares, Torre Norte CENU, Cidade Moncoes, Sao Paulo, SAO PAULO, 04.578-910 BR</v>
    <v>Software &amp; IT Services</v>
    <v>IFCM3</v>
    <v>Ações</v>
    <v>Infracommerce CXAAS S.A (BVMF:IFCM3)</v>
    <v>0.01</v>
    <v>0.16666699999999998</v>
    <v>6700700</v>
  </rv>
  <rv s="2">
    <v>736</v>
  </rv>
  <rv s="0">
    <v>https://www.bing.com/financeapi/forcetrigger?t=azs2pr&amp;q=BVMF%3aHAPV3&amp;form=skydnc</v>
    <v>Learn more on Bing</v>
  </rv>
  <rv s="8">
    <v>pt-BR</v>
    <v>azs2pr</v>
    <v>268435456</v>
    <v>1</v>
    <v>Da plataforma Refinitiv</v>
    <v>17</v>
    <v>18</v>
    <v>Hapvida Participações e Investimentos S/A (BVMF:HAPV3)</v>
    <v>12</v>
    <v>19</v>
    <v>Finance</v>
    <v>5</v>
    <v>71.25</v>
    <v>29.7</v>
    <v>BVMF</v>
    <v>502630900</v>
    <v>39.369999999999997</v>
    <v>2001</v>
    <v>38.31</v>
    <v>1.5931999999999999</v>
    <v>B3 - Brazil Stock Exchange</v>
    <v>19346263341</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39.520000000000003</v>
    <v>45821.958333333336</v>
    <v>738</v>
    <v>4864280</v>
    <v>BRL</v>
    <v>Hapvida Participações e Investimentos S/A</v>
    <v>Hapvida Participações e Investimentos S/A</v>
    <v>39.01</v>
    <v>38.49</v>
    <v>Avenida Heraclito Graca n 406, Centro, FORTALEZA, CEARA, 60.140-060 BR</v>
    <v>Healthcare Providers &amp; Services</v>
    <v>HAPV3</v>
    <v>Ações</v>
    <v>Hapvida Participações e Investimentos S/A (BVMF:HAPV3)</v>
    <v>-1.03</v>
    <v>-2.6062999999999999E-2</v>
    <v>4952400</v>
  </rv>
  <rv s="2">
    <v>739</v>
  </rv>
  <rv s="0">
    <v>https://www.bing.com/financeapi/forcetrigger?t=bvtfnm&amp;q=BVMF%3aSEQL3&amp;form=skydnc</v>
    <v>Learn more on Bing</v>
  </rv>
  <rv s="8">
    <v>pt-BR</v>
    <v>bvtfnm</v>
    <v>268435456</v>
    <v>1</v>
    <v>Da plataforma Refinitiv</v>
    <v>17</v>
    <v>18</v>
    <v>SEQUOIA LOGÍSTICA E TRANSPORTES S.A. (BVMF:SEQL3)</v>
    <v>12</v>
    <v>19</v>
    <v>Finance</v>
    <v>5</v>
    <v>9.73</v>
    <v>1.57</v>
    <v>BVMF</v>
    <v>50311580</v>
    <v>1.68</v>
    <v>1996</v>
    <v>1.57</v>
    <v>1.8673999999999999</v>
    <v>B3 - Brazil Stock Exchange</v>
    <v>78989180</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1.67</v>
    <v>45821.958333333336</v>
    <v>741</v>
    <v>441430</v>
    <v>BRL</v>
    <v>SEQUOIA LOGÍSTICA E TRANSPORTES S.A.</v>
    <v>SEQUOIA LOGÍSTICA E TRANSPORTES S.A.</v>
    <v>1.66</v>
    <v>1.57</v>
    <v>Alameda Rio Negro, 500 6 Andar, Sala 601, Alphaville, BARUERI, SAO PAULO, 06.454-000 BR</v>
    <v>Freight &amp; Logistics Services</v>
    <v>SEQL3</v>
    <v>Ações</v>
    <v>SEQUOIA LOGÍSTICA E TRANSPORTES S.A. (BVMF:SEQL3)</v>
    <v>-0.1</v>
    <v>-5.9880000000000003E-2</v>
    <v>725500</v>
  </rv>
  <rv s="2">
    <v>742</v>
  </rv>
  <rv s="0">
    <v>https://www.bing.com/financeapi/forcetrigger?t=axx6m7&amp;q=BVMF%3aBKBR3&amp;form=skydnc</v>
    <v>Learn more on Bing</v>
  </rv>
  <rv s="7">
    <v>pt-BR</v>
    <v>axx6m7</v>
    <v>268435456</v>
    <v>1</v>
    <v>Da plataforma Refinitiv</v>
    <v>14</v>
    <v>15</v>
    <v>ZAMP S.A. (BVMF:ZAMP3)</v>
    <v>12</v>
    <v>16</v>
    <v>Finance</v>
    <v>5</v>
    <v>3.94</v>
    <v>2.09</v>
    <v>BVMF</v>
    <v>406934400</v>
    <v>3.54</v>
    <v>2011</v>
    <v>3.31</v>
    <v>1.1329</v>
    <v>B3 - Brazil Stock Exchange</v>
    <v>1412062368</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3.36</v>
    <v>20000</v>
    <v>45821.958333333336</v>
    <v>744</v>
    <v>944020</v>
    <v>BRL</v>
    <v>ZAMP S.A.</v>
    <v>ZAMP S.A.</v>
    <v>3.33</v>
    <v>3.47</v>
    <v>Al Tocantins 350 Andar 10, Alphaville Centro Industrial E Empresarial/Alphavi, BARUERI, SAO PAULO, 06.455-020 BR</v>
    <v>Hotels &amp; Entertainment Services</v>
    <v>ZAMP3</v>
    <v>Ações</v>
    <v>ZAMP S.A. (BVMF:ZAMP3)</v>
    <v>0.11</v>
    <v>3.2738000000000003E-2</v>
    <v>1581400</v>
  </rv>
  <rv s="2">
    <v>745</v>
  </rv>
  <rv s="0">
    <v>https://www.bing.com/financeapi/forcetrigger?t=apmrur&amp;q=BVMF%3aINEP4&amp;form=skydnc</v>
    <v>Learn more on Bing</v>
  </rv>
  <rv s="7">
    <v>pt-BR</v>
    <v>apmrur</v>
    <v>268435456</v>
    <v>1</v>
    <v>Da plataforma Refinitiv</v>
    <v>14</v>
    <v>15</v>
    <v>Inepar S.A. Indústria e Construções - em Recuperação Judicial (BVMF:INEP4)</v>
    <v>12</v>
    <v>16</v>
    <v>Finance</v>
    <v>5</v>
    <v>2.54</v>
    <v>1.1499999999999999</v>
    <v>BVMF</v>
    <v>44605950</v>
    <v>1.75</v>
    <v>1968</v>
    <v>1.66</v>
    <v>1.8419000000000001</v>
    <v>B3 - Brazil Stock Exchange</v>
    <v>94125230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1.68</v>
    <v>3216</v>
    <v>45821.958333333336</v>
    <v>747</v>
    <v>33520</v>
    <v>BRL</v>
    <v>Inepar S.A. Indústria e Construções - em Recuperação Judicial</v>
    <v>Inepar S.A. Indústria e Construções - em Recuperação Judicial</v>
    <v>1.66</v>
    <v>1.75</v>
    <v>Alameda Dr. Carlos de Carvalho n 373,Cjto. 1101 11 andar, Centro, CURITIBA, PARANA, 80.410-180 BR</v>
    <v>Construction &amp; Engineering</v>
    <v>INEP4</v>
    <v>Ações</v>
    <v>Inepar S.A. Indústria e Construções - em Recuperação Judicial (BVMF:INEP4)</v>
    <v>7.0000000000000007E-2</v>
    <v>4.1666999999999996E-2</v>
    <v>42200</v>
  </rv>
  <rv s="2">
    <v>748</v>
  </rv>
  <rv s="0">
    <v>https://www.bing.com/financeapi/forcetrigger?t=apn2kr&amp;q=BVMF%3aOIBR3&amp;form=skydnc</v>
    <v>Learn more on Bing</v>
  </rv>
  <rv s="7">
    <v>pt-BR</v>
    <v>apn2kr</v>
    <v>268435456</v>
    <v>1</v>
    <v>Da plataforma Refinitiv</v>
    <v>14</v>
    <v>15</v>
    <v>Oi S.A. – Em Recuperação Judicial (BVMF:OIBR3)</v>
    <v>12</v>
    <v>16</v>
    <v>Finance</v>
    <v>5</v>
    <v>6.62</v>
    <v>0.46</v>
    <v>BVMF</v>
    <v>330121700</v>
    <v>0.74</v>
    <v>1963</v>
    <v>0.71</v>
    <v>1.7844</v>
    <v>B3 - Brazil Stock Exchange</v>
    <v>254553400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0.73</v>
    <v>2600</v>
    <v>45821.958333333336</v>
    <v>750</v>
    <v>24640</v>
    <v>BRL</v>
    <v>Oi S.A. – Em Recuperação Judicial</v>
    <v>Oi S.A. – Em Recuperação Judicial</v>
    <v>0.73</v>
    <v>0.71</v>
    <v>Rua do Lavradio, 71,2 andar, Centro, RIO DE JANEIRO, RIO DE JANEIRO, 20.230-070 BR</v>
    <v>Telecommunications Services</v>
    <v>OIBR3</v>
    <v>Ações</v>
    <v>Oi S.A. – Em Recuperação Judicial (BVMF:OIBR3)</v>
    <v>-0.02</v>
    <v>-2.7397000000000001E-2</v>
    <v>1800900</v>
  </rv>
  <rv s="2">
    <v>751</v>
  </rv>
  <rv s="0">
    <v>https://www.bing.com/financeapi/forcetrigger?t=apmcfr&amp;q=BVMF%3aCSAN3&amp;form=skydnc</v>
    <v>Learn more on Bing</v>
  </rv>
  <rv s="7">
    <v>pt-BR</v>
    <v>apmcfr</v>
    <v>268435456</v>
    <v>1</v>
    <v>Da plataforma Refinitiv</v>
    <v>14</v>
    <v>15</v>
    <v>Cosan S.A (BVMF:CSAN3)</v>
    <v>12</v>
    <v>16</v>
    <v>Finance</v>
    <v>5</v>
    <v>14.45</v>
    <v>6.45</v>
    <v>BVMF</v>
    <v>1866571000</v>
    <v>8.23</v>
    <v>1966</v>
    <v>8.0299999999999994</v>
    <v>1.2395</v>
    <v>B3 - Brazil Stock Exchange</v>
    <v>15156556519</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8.24</v>
    <v>53498</v>
    <v>45821.958333333336</v>
    <v>753</v>
    <v>15370660</v>
    <v>BRL</v>
    <v>Cosan S.A</v>
    <v>Cosan S.A</v>
    <v>8.23</v>
    <v>8.1199999999999992</v>
    <v>Avenida Brigadeiro Faria Lima, 4.100 16 andar, sala 01, Vila Nova Conceicao, SAO PAULO, SAO PAULO, 04.538-132 BR</v>
    <v>Consumer Goods Conglomerates</v>
    <v>CSAN3</v>
    <v>Ações</v>
    <v>Cosan S.A (BVMF:CSAN3)</v>
    <v>-0.12</v>
    <v>-1.4563E-2</v>
    <v>10876500</v>
  </rv>
  <rv s="2">
    <v>754</v>
  </rv>
  <rv s="0">
    <v>https://www.bing.com/financeapi/forcetrigger?t=apm4oc&amp;q=BVMF%3aBRKM3&amp;form=skydnc</v>
    <v>Learn more on Bing</v>
  </rv>
  <rv s="7">
    <v>pt-BR</v>
    <v>apm4oc</v>
    <v>268435456</v>
    <v>1</v>
    <v>Da plataforma Refinitiv</v>
    <v>14</v>
    <v>15</v>
    <v>BRASKEM S.A. (BVMF:BRKM3)</v>
    <v>12</v>
    <v>16</v>
    <v>Finance</v>
    <v>5</v>
    <v>20.86</v>
    <v>9.1199999999999992</v>
    <v>BVMF</v>
    <v>797207800</v>
    <v>11.3</v>
    <v>1972</v>
    <v>10.8</v>
    <v>1.0466</v>
    <v>B3 - Brazil Stock Exchange</v>
    <v>8629573000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11.03</v>
    <v>8126</v>
    <v>45821.958333333336</v>
    <v>756</v>
    <v>2973520</v>
    <v>BRL</v>
    <v>BRASKEM S.A.</v>
    <v>BRASKEM S.A.</v>
    <v>10.8</v>
    <v>11.01</v>
    <v>R Eteno 1561, Polo Industrial De Camacari, CAMACARI, BAHIA, 42.816-200 BR</v>
    <v>Chemicals</v>
    <v>BRKM3</v>
    <v>Ações</v>
    <v>BRASKEM S.A. (BVMF:BRKM3)</v>
    <v>-0.02</v>
    <v>-1.8129999999999999E-3</v>
    <v>21600</v>
  </rv>
  <rv s="2">
    <v>757</v>
  </rv>
  <rv s="0">
    <v>https://www.bing.com/financeapi/forcetrigger?t=apnc7w&amp;q=BVMF%3aSHOW3&amp;form=skydnc</v>
    <v>Learn more on Bing</v>
  </rv>
  <rv s="7">
    <v>pt-BR</v>
    <v>apnc7w</v>
    <v>268435456</v>
    <v>1</v>
    <v>Da plataforma Refinitiv</v>
    <v>14</v>
    <v>15</v>
    <v>T4F ENTRETENIMENTO S.A. (BVMF:SHOW3)</v>
    <v>12</v>
    <v>16</v>
    <v>Finance</v>
    <v>5</v>
    <v>17.899999999999999</v>
    <v>5.99</v>
    <v>BVMF</v>
    <v>67412640</v>
    <v>6.69</v>
    <v>1998</v>
    <v>6.5</v>
    <v>1.85</v>
    <v>B3 - Brazil Stock Exchange</v>
    <v>438182160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6.6</v>
    <v>621</v>
    <v>45821.958333333336</v>
    <v>759</v>
    <v>29830</v>
    <v>BRL</v>
    <v>T4F ENTRETENIMENTO S.A.</v>
    <v>T4F ENTRETENIMENTO S.A.</v>
    <v>6.56</v>
    <v>6.5</v>
    <v>Rua Cristiano Viana, n 401, 15 andar, Pinheiros, SAO PAULO, SAO PAULO, 05.411-000 BR</v>
    <v>Hotels &amp; Entertainment Services</v>
    <v>SHOW3</v>
    <v>Ações</v>
    <v>T4F ENTRETENIMENTO S.A. (BVMF:SHOW3)</v>
    <v>-0.1</v>
    <v>-1.5152000000000001E-2</v>
    <v>14900</v>
  </rv>
  <rv s="2">
    <v>760</v>
  </rv>
  <rv s="0">
    <v>https://www.bing.com/financeapi/forcetrigger?t=azilm7&amp;q=BVMF%3aAZEV3&amp;form=skydnc</v>
    <v>Learn more on Bing</v>
  </rv>
  <rv s="8">
    <v>pt-BR</v>
    <v>azilm7</v>
    <v>268435456</v>
    <v>1</v>
    <v>Da plataforma Refinitiv</v>
    <v>17</v>
    <v>18</v>
    <v>AZEVEDO &amp; TRAVASSOS S.A. (BVMF:AZEV3)</v>
    <v>12</v>
    <v>19</v>
    <v>Finance</v>
    <v>5</v>
    <v>1.92</v>
    <v>0.49</v>
    <v>BVMF</v>
    <v>592753700</v>
    <v>0.51</v>
    <v>1922</v>
    <v>0.49</v>
    <v>1.0085</v>
    <v>B3 - Brazil Stock Exchange</v>
    <v>224979100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v>
    <v>45821.958333333336</v>
    <v>762</v>
    <v>2310250</v>
    <v>BRL</v>
    <v>AZEVEDO &amp; TRAVASSOS S.A.</v>
    <v>AZEVEDO &amp; TRAVASSOS S.A.</v>
    <v>0.51</v>
    <v>0.5</v>
    <v>Rua Vicente Antonio de Oliveira 1050, Pirituba, SAO PAULO, SAO PAULO, 02.955-080 BR</v>
    <v>Construction &amp; Engineering</v>
    <v>AZEV3</v>
    <v>Ações</v>
    <v>AZEVEDO &amp; TRAVASSOS S.A. (BVMF:AZEV3)</v>
    <v>0</v>
    <v>0</v>
    <v>813900</v>
  </rv>
  <rv s="2">
    <v>763</v>
  </rv>
  <rv s="0">
    <v>https://www.bing.com/financeapi/forcetrigger?t=apmoa2&amp;q=BVMF%3aGOLL4&amp;form=skydnc</v>
    <v>Learn more on Bing</v>
  </rv>
  <rv s="7">
    <v>pt-BR</v>
    <v>apmoa2</v>
    <v>268435456</v>
    <v>1</v>
    <v>Da plataforma Refinitiv</v>
    <v>14</v>
    <v>15</v>
    <v>Gol Linhas Aéreas Inteligentes S.A. (BVMF:GOLL54)</v>
    <v>12</v>
    <v>16</v>
    <v>Finance</v>
    <v>5</v>
    <v>701</v>
    <v>0</v>
    <v>BVMF</v>
    <v>9165945000000</v>
    <v>701</v>
    <v>2004</v>
    <v>701</v>
    <v>2.0350000000000001</v>
    <v>B3 - Brazil Stock Exchange</v>
    <v>240682900000000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10.27</v>
    <v>13694</v>
    <v>45821.958333333336</v>
    <v>765</v>
    <v>1986177080</v>
    <v>BRL</v>
    <v>Gol Linhas Aéreas Inteligentes S.A.</v>
    <v>Gol Linhas Aéreas Inteligentes S.A.</v>
    <v>701</v>
    <v>701</v>
    <v>Praca Comandante Lineu Gomes S/N, Portaria 3, Jardim Aeroporto, SAO PAULO, SAO PAULO, 04.626-020 BR</v>
    <v>Passenger Transportation Services</v>
    <v>GOLL54</v>
    <v>Ações</v>
    <v>Gol Linhas Aéreas Inteligentes S.A. (BVMF:GOLL54)</v>
    <v>690.73</v>
    <v>67.257058999999998</v>
    <v>9074</v>
  </rv>
  <rv s="2">
    <v>766</v>
  </rv>
  <rv s="0">
    <v>https://www.bing.com/financeapi/forcetrigger?t=apnbvh&amp;q=BVMF%3aSEER3&amp;form=skydnc</v>
    <v>Learn more on Bing</v>
  </rv>
  <rv s="7">
    <v>pt-BR</v>
    <v>apnbvh</v>
    <v>268435456</v>
    <v>1</v>
    <v>Da plataforma Refinitiv</v>
    <v>14</v>
    <v>15</v>
    <v>Ser Educacional S.A. (BVMF:SEER3)</v>
    <v>12</v>
    <v>16</v>
    <v>Finance</v>
    <v>5</v>
    <v>10.76</v>
    <v>3.9</v>
    <v>BVMF</v>
    <v>128721600</v>
    <v>10.59</v>
    <v>2002</v>
    <v>10.24</v>
    <v>1.7599</v>
    <v>B3 - Brazil Stock Exchange</v>
    <v>1356725000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10.54</v>
    <v>7800</v>
    <v>45821.958333333336</v>
    <v>768</v>
    <v>815620</v>
    <v>BRL</v>
    <v>Ser Educacional S.A.</v>
    <v>Ser Educacional S.A.</v>
    <v>10.44</v>
    <v>10.38</v>
    <v>Av. da Saudade, 254, Santo Amaro, RECIFE, PERNAMBUCO, 50.100-200 BR</v>
    <v>School, College &amp; University</v>
    <v>SEER3</v>
    <v>Ações</v>
    <v>Ser Educacional S.A. (BVMF:SEER3)</v>
    <v>-0.16</v>
    <v>-1.5180000000000001E-2</v>
    <v>402300</v>
  </rv>
  <rv s="2">
    <v>769</v>
  </rv>
  <rv s="0">
    <v>https://www.bing.com/financeapi/forcetrigger?t=apmk77&amp;q=BVMF%3aFESA4&amp;form=skydnc</v>
    <v>Learn more on Bing</v>
  </rv>
  <rv s="7">
    <v>pt-BR</v>
    <v>apmk77</v>
    <v>268435456</v>
    <v>1</v>
    <v>Da plataforma Refinitiv</v>
    <v>14</v>
    <v>15</v>
    <v>Companhia de Ferro Ligas da Bahia (Ferbasa) (BVMF:FESA4)</v>
    <v>12</v>
    <v>16</v>
    <v>Finance</v>
    <v>5</v>
    <v>8.59</v>
    <v>6.57</v>
    <v>BVMF</v>
    <v>353175000</v>
    <v>7.1</v>
    <v>1961</v>
    <v>6.98</v>
    <v>0.2989</v>
    <v>B3 - Brazil Stock Exchange</v>
    <v>3103842000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7.02</v>
    <v>3218</v>
    <v>45821.958333333336</v>
    <v>771</v>
    <v>450280</v>
    <v>BRL</v>
    <v>Companhia de Ferro Ligas da Bahia (Ferbasa)</v>
    <v>Companhia de Ferro Ligas da Bahia (Ferbasa)</v>
    <v>7.1</v>
    <v>7.02</v>
    <v>Estrada de Santiago, s/n, Sede, Santiago, POJUCA, BAHIA, 48.120-000 BR</v>
    <v>Metals &amp; Mining</v>
    <v>FESA4</v>
    <v>Ações</v>
    <v>Companhia de Ferro Ligas da Bahia (Ferbasa) (BVMF:FESA4)</v>
    <v>0</v>
    <v>0</v>
    <v>295100</v>
  </rv>
  <rv s="2">
    <v>772</v>
  </rv>
  <rv s="0">
    <v>https://www.bing.com/financeapi/forcetrigger?t=bvcw52&amp;q=BVMF%3aLJQQ3&amp;form=skydnc</v>
    <v>Learn more on Bing</v>
  </rv>
  <rv s="7">
    <v>pt-BR</v>
    <v>bvcw52</v>
    <v>268435456</v>
    <v>1</v>
    <v>Da plataforma Refinitiv</v>
    <v>14</v>
    <v>15</v>
    <v>Lojas Quero-Quero S.A (BVMF:LJQQ3)</v>
    <v>12</v>
    <v>16</v>
    <v>Finance</v>
    <v>5</v>
    <v>4.34</v>
    <v>1.87</v>
    <v>BVMF</v>
    <v>206917300</v>
    <v>2.64</v>
    <v>1967</v>
    <v>2.5099999999999998</v>
    <v>1.8141</v>
    <v>B3 - Brazil Stock Exchange</v>
    <v>519362422</v>
    <v>A Lojas Quero-Quero SA possui e opera lojas de varejo de artefatos domésticos em cidades de pequeno e médio porte do Rio Grande do Sul. A empresa foi fundada em 1967 e está localizada em Cachoeirinha, Brasil.</v>
    <v>BVMF</v>
    <v>2.67</v>
    <v>8200</v>
    <v>45821.958333333336</v>
    <v>774</v>
    <v>2750490</v>
    <v>BRL</v>
    <v>Lojas Quero-Quero S.A</v>
    <v>Lojas Quero-Quero S.A</v>
    <v>2.62</v>
    <v>2.5099999999999998</v>
    <v>Avenida General Flores da Cunha n 1943, Vila Cachoeirinha, CACHOEIRINHA, RIO GRANDE DO SUL, 94.910-003 BR</v>
    <v>Specialty Retailers</v>
    <v>LJQQ3</v>
    <v>Ações</v>
    <v>Lojas Quero-Quero S.A (BVMF:LJQQ3)</v>
    <v>-0.16</v>
    <v>-5.9924999999999999E-2</v>
    <v>2676300</v>
  </rv>
  <rv s="2">
    <v>775</v>
  </rv>
  <rv s="0">
    <v>https://www.bing.com/financeapi/forcetrigger?t=apnkar&amp;q=BVMF%3aVIVR3&amp;form=skydnc</v>
    <v>Learn more on Bing</v>
  </rv>
  <rv s="7">
    <v>pt-BR</v>
    <v>apnkar</v>
    <v>268435456</v>
    <v>1</v>
    <v>Da plataforma Refinitiv</v>
    <v>14</v>
    <v>15</v>
    <v>Viver Incorporadora e Construtora S.A. (BVMF:VIVR3)</v>
    <v>12</v>
    <v>16</v>
    <v>Finance</v>
    <v>5</v>
    <v>2.7</v>
    <v>0.87</v>
    <v>BVMF</v>
    <v>38366080</v>
    <v>0.89</v>
    <v>1992</v>
    <v>0.88</v>
    <v>1.6327</v>
    <v>B3 - Brazil Stock Exchange</v>
    <v>33762150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0.89</v>
    <v>256</v>
    <v>45821.958333333336</v>
    <v>777</v>
    <v>22180</v>
    <v>BRL</v>
    <v>Viver Incorporadora e Construtora S.A.</v>
    <v>Viver Incorporadora e Construtora S.A.</v>
    <v>0.88</v>
    <v>0.88</v>
    <v>Avenida Brigadeiro Faria Lima, 1.461, 10 andar, Jardim Paulista, SAO PAULO, SAO PAULO, 01.452-921 BR</v>
    <v>Real Estate Operations</v>
    <v>VIVR3</v>
    <v>Ações</v>
    <v>Viver Incorporadora e Construtora S.A. (BVMF:VIVR3)</v>
    <v>-0.01</v>
    <v>-1.1235999999999999E-2</v>
    <v>10400</v>
  </rv>
  <rv s="2">
    <v>778</v>
  </rv>
  <rv s="0">
    <v>https://www.bing.com/financeapi/forcetrigger?t=apmemw&amp;q=BVMF%3aDASA3&amp;form=skydnc</v>
    <v>Learn more on Bing</v>
  </rv>
  <rv s="7">
    <v>pt-BR</v>
    <v>apmemw</v>
    <v>268435456</v>
    <v>1</v>
    <v>Da plataforma Refinitiv</v>
    <v>14</v>
    <v>15</v>
    <v>Diagnósticos da América S.A (BVMF:DASA3)</v>
    <v>12</v>
    <v>16</v>
    <v>Finance</v>
    <v>5</v>
    <v>5.29</v>
    <v>1.49</v>
    <v>BVMF</v>
    <v>1255007000</v>
    <v>1.52</v>
    <v>1966</v>
    <v>1.49</v>
    <v>1.0449999999999999</v>
    <v>B3 - Brazil Stock Exchange</v>
    <v>1882510500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1.52</v>
    <v>18142</v>
    <v>45821.958333333336</v>
    <v>780</v>
    <v>655020</v>
    <v>BRL</v>
    <v>Diagnósticos da América S.A</v>
    <v>Diagnósticos da América S.A</v>
    <v>1.52</v>
    <v>1.5</v>
    <v>Avenida Jurua, 434, Alphaville, BARUERI, SAO PAULO, 06.455-010 BR</v>
    <v>Healthcare Providers &amp; Services</v>
    <v>DASA3</v>
    <v>Ações</v>
    <v>Diagnósticos da América S.A (BVMF:DASA3)</v>
    <v>-0.02</v>
    <v>-1.3158000000000001E-2</v>
    <v>698000</v>
  </rv>
  <rv s="2">
    <v>781</v>
  </rv>
  <rv s="0">
    <v>https://www.bing.com/financeapi/forcetrigger?t=apnakr&amp;q=BVMF%3aRSID3&amp;form=skydnc</v>
    <v>Learn more on Bing</v>
  </rv>
  <rv s="8">
    <v>pt-BR</v>
    <v>apnakr</v>
    <v>268435456</v>
    <v>1</v>
    <v>Da plataforma Refinitiv</v>
    <v>17</v>
    <v>18</v>
    <v>ROSSI RESIDENCIAL S.A. - Em Recuperação Judicial. (BVMF:RSID3)</v>
    <v>12</v>
    <v>19</v>
    <v>Finance</v>
    <v>5</v>
    <v>5.45</v>
    <v>1.65</v>
    <v>BVMF</v>
    <v>20000000</v>
    <v>2.15</v>
    <v>1985</v>
    <v>2.09</v>
    <v>0.73440000000000005</v>
    <v>B3 - Brazil Stock Exchange</v>
    <v>42800000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2.14</v>
    <v>45821.958333333336</v>
    <v>783</v>
    <v>63510</v>
    <v>BRL</v>
    <v>ROSSI RESIDENCIAL S.A. - Em Recuperação Judicial.</v>
    <v>ROSSI RESIDENCIAL S.A. - Em Recuperação Judicial.</v>
    <v>2.11</v>
    <v>2.14</v>
    <v>Rua Henri Dunant, 873 - Conj. 601 a 605 6 andar, Santo Amaro, SAO PAULO, SAO PAULO, 04.709-111 BR</v>
    <v>Real Estate Operations</v>
    <v>RSID3</v>
    <v>Ações</v>
    <v>ROSSI RESIDENCIAL S.A. - Em Recuperação Judicial. (BVMF:RSID3)</v>
    <v>0</v>
    <v>0</v>
    <v>10300</v>
  </rv>
  <rv s="2">
    <v>784</v>
  </rv>
  <rv s="0">
    <v>https://www.bing.com/financeapi/forcetrigger?t=apnf8m&amp;q=BVMF%3aTCSA3&amp;form=skydnc</v>
    <v>Learn more on Bing</v>
  </rv>
  <rv s="7">
    <v>pt-BR</v>
    <v>apnf8m</v>
    <v>268435456</v>
    <v>1</v>
    <v>Da plataforma Refinitiv</v>
    <v>14</v>
    <v>15</v>
    <v>TECNISA S.A. (BVMF:TCSA3)</v>
    <v>12</v>
    <v>16</v>
    <v>Finance</v>
    <v>5</v>
    <v>2.5099999999999998</v>
    <v>1.1599999999999999</v>
    <v>BVMF</v>
    <v>90511120</v>
    <v>1.19</v>
    <v>2006</v>
    <v>1.1599999999999999</v>
    <v>1.5435000000000001</v>
    <v>B3 - Brazil Stock Exchange</v>
    <v>106803121</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1.19</v>
    <v>8039</v>
    <v>45821.958333333336</v>
    <v>786</v>
    <v>77520</v>
    <v>BRL</v>
    <v>TECNISA S.A.</v>
    <v>TECNISA S.A.</v>
    <v>1.19</v>
    <v>1.18</v>
    <v>Avenida Nicolas Boer, 399, 5 andar - Unid 502S, Jardim das Perdizes, SAO PAULO, SAO PAULO, 01.140-060 BR</v>
    <v>Real Estate Operations</v>
    <v>TCSA3</v>
    <v>Ações</v>
    <v>TECNISA S.A. (BVMF:TCSA3)</v>
    <v>-0.01</v>
    <v>-8.4030000000000007E-3</v>
    <v>162000</v>
  </rv>
  <rv s="2">
    <v>787</v>
  </rv>
  <rv s="0">
    <v>https://www.bing.com/financeapi/forcetrigger?t=aplxpr&amp;q=BVMF%3aAZUL4&amp;form=skydnc</v>
    <v>Learn more on Bing</v>
  </rv>
  <rv s="7">
    <v>pt-BR</v>
    <v>aplxpr</v>
    <v>268435456</v>
    <v>1</v>
    <v>Da plataforma Refinitiv</v>
    <v>14</v>
    <v>15</v>
    <v>Azul S.A. (BVMF:AZUL4)</v>
    <v>12</v>
    <v>16</v>
    <v>Finance</v>
    <v>5</v>
    <v>9.75</v>
    <v>0.88</v>
    <v>BVMF</v>
    <v>896039700</v>
    <v>1.0900000000000001</v>
    <v>2008</v>
    <v>0.9</v>
    <v>1.9543999999999999</v>
    <v>B3 - Brazil Stock Exchange</v>
    <v>887079303</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0.94</v>
    <v>15367</v>
    <v>45821.958333333336</v>
    <v>789</v>
    <v>43720100</v>
    <v>BRL</v>
    <v>Azul S.A.</v>
    <v>Azul S.A.</v>
    <v>0.93</v>
    <v>0.99</v>
    <v>Av. Marcos P. de U. Rodrigues, 939 - Edif. C. Branco Office Park, Torre Jatoba, 11 andar, Alphaville Industrial, BARUERI, SAO PAULO, 06.460-040 BR</v>
    <v>Passenger Transportation Services</v>
    <v>AZUL4</v>
    <v>Ações</v>
    <v>Azul S.A. (BVMF:AZUL4)</v>
    <v>0.05</v>
    <v>5.3190999999999995E-2</v>
    <v>76790400</v>
  </rv>
  <rv s="2">
    <v>790</v>
  </rv>
  <rv s="0">
    <v>https://www.bing.com/financeapi/forcetrigger?t=c24pbh&amp;q=BVMF%3aDOTZ3&amp;form=skydnc</v>
    <v>Learn more on Bing</v>
  </rv>
  <rv s="7">
    <v>pt-BR</v>
    <v>c24pbh</v>
    <v>268435456</v>
    <v>1</v>
    <v>Da plataforma Refinitiv</v>
    <v>14</v>
    <v>15</v>
    <v>Dotz S.A. (BVMF:DOTZ3)</v>
    <v>12</v>
    <v>16</v>
    <v>Finance</v>
    <v>5</v>
    <v>9.4499999999999993</v>
    <v>2.54</v>
    <v>BVMF</v>
    <v>13321980</v>
    <v>7.76</v>
    <v>2013</v>
    <v>7.44</v>
    <v>1.6503000000000001</v>
    <v>B3 - Brazil Stock Exchange</v>
    <v>103378564</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7.45</v>
    <v>226</v>
    <v>45821.958333333336</v>
    <v>792</v>
    <v>25680</v>
    <v>BRL</v>
    <v>Dotz S.A.</v>
    <v>Dotz S.A.</v>
    <v>7.44</v>
    <v>7.76</v>
    <v>R Joaquim Floriano 533 15 andar, Itaim Bibi, Sao Paulo, SAO PAULO, 04.534-011 BR</v>
    <v>Professional &amp; Commercial Services</v>
    <v>DOTZ3</v>
    <v>Ações</v>
    <v>Dotz S.A. (BVMF:DOTZ3)</v>
    <v>0.31</v>
    <v>4.1611000000000002E-2</v>
    <v>26300</v>
  </rv>
  <rv s="2">
    <v>793</v>
  </rv>
  <rv s="0">
    <v>https://www.bing.com/financeapi/forcetrigger?t=apn51h&amp;q=BVMF%3aPMAM3&amp;form=skydnc</v>
    <v>Learn more on Bing</v>
  </rv>
  <rv s="7">
    <v>pt-BR</v>
    <v>apn51h</v>
    <v>268435456</v>
    <v>1</v>
    <v>Da plataforma Refinitiv</v>
    <v>14</v>
    <v>15</v>
    <v>PARANAPANEMA S.A - EM RECUPERACAO JUDICIAL (BVMF:PMAM3)</v>
    <v>12</v>
    <v>16</v>
    <v>Finance</v>
    <v>5</v>
    <v>2.71</v>
    <v>0.76</v>
    <v>BVMF</v>
    <v>540540600</v>
    <v>1.96</v>
    <v>1961</v>
    <v>1.83</v>
    <v>1.2638</v>
    <v>B3 - Brazil Stock Exchange</v>
    <v>1032433000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1.91</v>
    <v>2229</v>
    <v>45821.958333333336</v>
    <v>795</v>
    <v>774320</v>
    <v>BRL</v>
    <v>PARANAPANEMA S.A - EM RECUPERACAO JUDICIAL</v>
    <v>PARANAPANEMA S.A - EM RECUPERACAO JUDICIAL</v>
    <v>1.91</v>
    <v>1.92</v>
    <v>Rua Felipe Camarao, 500, Bairro Utinga, SANTO ANDRE, SAO PAULO, 09.220-580 BR</v>
    <v>Metals &amp; Mining</v>
    <v>PMAM3</v>
    <v>Ações</v>
    <v>PARANAPANEMA S.A - EM RECUPERACAO JUDICIAL (BVMF:PMAM3)</v>
    <v>0.01</v>
    <v>5.2359999999999993E-3</v>
    <v>365600</v>
  </rv>
  <rv s="2">
    <v>796</v>
  </rv>
  <rv s="0">
    <v>https://www.bing.com/financeapi/forcetrigger?t=apmvm7&amp;q=BVMF%3aLLIS3&amp;form=skydnc</v>
    <v>Learn more on Bing</v>
  </rv>
  <rv s="7">
    <v>pt-BR</v>
    <v>apmvm7</v>
    <v>268435456</v>
    <v>1</v>
    <v>Da plataforma Refinitiv</v>
    <v>14</v>
    <v>15</v>
    <v>VESTE S.A. ESTILO (BVMF:VSTE3)</v>
    <v>12</v>
    <v>16</v>
    <v>Finance</v>
    <v>5</v>
    <v>17.52</v>
    <v>5.5</v>
    <v>BVMF</v>
    <v>114333800</v>
    <v>6.05</v>
    <v>1982</v>
    <v>6.01</v>
    <v>1.3482000000000001</v>
    <v>B3 - Brazil Stock Exchange</v>
    <v>690576400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6.04</v>
    <v>1833</v>
    <v>45821.958333333336</v>
    <v>798</v>
    <v>56200</v>
    <v>BRL</v>
    <v>VESTE S.A. ESTILO</v>
    <v>VESTE S.A. ESTILO</v>
    <v>6.05</v>
    <v>6.01</v>
    <v>Rua Othao 405, Vila Leopoldina, SAO PAULO, SAO PAULO, 05.313-020 BR</v>
    <v>Specialty Retailers</v>
    <v>VSTE3</v>
    <v>Ações</v>
    <v>VESTE S.A. ESTILO (BVMF:VSTE3)</v>
    <v>-0.03</v>
    <v>-4.9670000000000001E-3</v>
    <v>60500</v>
  </rv>
  <rv s="2">
    <v>799</v>
  </rv>
  <rv s="0">
    <v>https://www.bing.com/financeapi/forcetrigger?t=apmxkr&amp;q=BVMF%3aMGEL4&amp;form=skydnc</v>
    <v>Learn more on Bing</v>
  </rv>
  <rv s="7">
    <v>pt-BR</v>
    <v>apmxkr</v>
    <v>268435456</v>
    <v>1</v>
    <v>Da plataforma Refinitiv</v>
    <v>14</v>
    <v>15</v>
    <v>Mangels Industrial S.A. (BVMF:MGEL4)</v>
    <v>12</v>
    <v>16</v>
    <v>Finance</v>
    <v>5</v>
    <v>13.97</v>
    <v>4.8099999999999996</v>
    <v>BVMF</v>
    <v>5783210</v>
    <v>5.08</v>
    <v>1928</v>
    <v>5.08</v>
    <v>1.2302999999999999</v>
    <v>B3 - Brazil Stock Exchange</v>
    <v>18877120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5.08</v>
    <v>3100</v>
    <v>45821.65148148148</v>
    <v>801</v>
    <v>990</v>
    <v>BRL</v>
    <v>Mangels Industrial S.A.</v>
    <v>Mangels Industrial S.A.</v>
    <v>5.08</v>
    <v>5.08</v>
    <v>Rodovia Fernao Dias, Km 755,6, Distrito Industrial, Tres Coracoes, MINAS GERAIS, 37.418-760 BR</v>
    <v>Metals &amp; Mining</v>
    <v>MGEL4</v>
    <v>Ações</v>
    <v>Mangels Industrial S.A. (BVMF:MGEL4)</v>
    <v>0</v>
    <v>0</v>
    <v>100</v>
  </rv>
  <rv s="2">
    <v>802</v>
  </rv>
  <rv s="0">
    <v>https://www.bing.com/financeapi/forcetrigger?t=apn91h&amp;q=BVMF%3aRCSL3&amp;form=skydnc</v>
    <v>Learn more on Bing</v>
  </rv>
  <rv s="7">
    <v>pt-BR</v>
    <v>apn91h</v>
    <v>268435456</v>
    <v>1</v>
    <v>Da plataforma Refinitiv</v>
    <v>14</v>
    <v>15</v>
    <v>RECRUSUL S.A. (BVMF:RCSL3)</v>
    <v>12</v>
    <v>16</v>
    <v>Finance</v>
    <v>5</v>
    <v>8.57</v>
    <v>2.42</v>
    <v>BVMF</v>
    <v>31822290</v>
    <v>2.68</v>
    <v>1954</v>
    <v>2.42</v>
    <v>1.3673999999999999</v>
    <v>B3 - Brazil Stock Exchange</v>
    <v>49096080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2.6</v>
    <v>106</v>
    <v>45821.958333333336</v>
    <v>804</v>
    <v>1766460</v>
    <v>BRL</v>
    <v>RECRUSUL S.A.</v>
    <v>RECRUSUL S.A.</v>
    <v>2.6</v>
    <v>2.5</v>
    <v>Av. Luiz Pasteur, 1020, Tres Portos, SAPUCAIA DO SUL, RIO GRANDE DO SUL, 93.212-360 BR</v>
    <v>Automobiles &amp; Auto Parts</v>
    <v>RCSL3</v>
    <v>Ações</v>
    <v>RECRUSUL S.A. (BVMF:RCSL3)</v>
    <v>-0.1</v>
    <v>-3.8462000000000003E-2</v>
    <v>556700</v>
  </rv>
  <rv s="2">
    <v>805</v>
  </rv>
  <rv s="0">
    <v>https://www.bing.com/financeapi/forcetrigger?t=c2vnz2&amp;q=BVMF%3aARML3&amp;form=skydnc</v>
    <v>Learn more on Bing</v>
  </rv>
  <rv s="7">
    <v>pt-BR</v>
    <v>c2vnz2</v>
    <v>268435456</v>
    <v>1</v>
    <v>Da plataforma Refinitiv</v>
    <v>14</v>
    <v>15</v>
    <v>Armac Locação, Logística e Serviços S.A. (BVMF:ARML3)</v>
    <v>12</v>
    <v>16</v>
    <v>Finance</v>
    <v>5</v>
    <v>10.83</v>
    <v>3.57</v>
    <v>BVMF</v>
    <v>346494100</v>
    <v>5.05</v>
    <v>1994</v>
    <v>4.93</v>
    <v>1.4288000000000001</v>
    <v>B3 - Brazil Stock Exchange</v>
    <v>1732470500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5.09</v>
    <v>6000</v>
    <v>45821.958333333336</v>
    <v>807</v>
    <v>582580</v>
    <v>BRL</v>
    <v>Armac Locação, Logística e Serviços S.A.</v>
    <v>Armac Locação, Logística e Serviços S.A.</v>
    <v>5.05</v>
    <v>5</v>
    <v>Av. Marcos Penteado de Ulhoa Rodrigues, 939, Conj. 701 e 702 Torre II, Ed. Jatoba, Tambore, BARUERI, SAO PAULO, 06.460-040 BR</v>
    <v>Professional &amp; Commercial Services</v>
    <v>ARML3</v>
    <v>Ações</v>
    <v>Armac Locação, Logística e Serviços S.A. (BVMF:ARML3)</v>
    <v>-0.09</v>
    <v>-1.7682E-2</v>
    <v>225100</v>
  </rv>
  <rv s="2">
    <v>808</v>
  </rv>
  <rv s="0">
    <v>https://www.bing.com/financeapi/forcetrigger?t=az8xkr&amp;q=BVMF%3aATMP3&amp;form=skydnc</v>
    <v>Learn more on Bing</v>
  </rv>
  <rv s="7">
    <v>pt-BR</v>
    <v>az8xkr</v>
    <v>268435456</v>
    <v>1</v>
    <v>Da plataforma Refinitiv</v>
    <v>14</v>
    <v>15</v>
    <v>ATMA Participações S.A. - Em Recuperação Judicial (BVMF:CTAX3)</v>
    <v>12</v>
    <v>16</v>
    <v>Finance</v>
    <v>5</v>
    <v>2.48</v>
    <v>1</v>
    <v>BVMF</v>
    <v>26710360</v>
    <v>1.19</v>
    <v>2000</v>
    <v>1.19</v>
    <v>1.5944</v>
    <v>B3 - Brazil Stock Exchange</v>
    <v>31785328</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1.2</v>
    <v>57370</v>
    <v>45821.958333333336</v>
    <v>810</v>
    <v>7110</v>
    <v>BRL</v>
    <v>ATMA Participações S.A. - Em Recuperação Judicial</v>
    <v>ATMA Participações S.A. - Em Recuperação Judicial</v>
    <v>1.19</v>
    <v>1.19</v>
    <v>Rua Beneditinos, n. 15/17, Parte, Centro, RIO DE JANEIRO, RIO DE JANEIRO, 20.081-050 BR</v>
    <v>Professional &amp; Commercial Services</v>
    <v>CTAX3</v>
    <v>Ações</v>
    <v>ATMA Participações S.A. - Em Recuperação Judicial (BVMF:CTAX3)</v>
    <v>-0.01</v>
    <v>-8.3330000000000001E-3</v>
    <v>100</v>
  </rv>
  <rv s="2">
    <v>811</v>
  </rv>
  <rv s="15">
    <v>12</v>
    <v>Preço</v>
    <v>0</v>
  </rv>
  <rv s="15">
    <v>12</v>
    <v>Variação (%)</v>
    <v>0</v>
  </rv>
  <rv s="15">
    <v>12</v>
    <v>Baixo</v>
    <v>0</v>
  </rv>
  <rv s="15">
    <v>12</v>
    <v>Alto</v>
    <v>0</v>
  </rv>
  <rv s="15">
    <v>12</v>
    <v>Fechamento anterior</v>
    <v>0</v>
  </rv>
  <rv s="15">
    <v>12</v>
    <v>Volume</v>
    <v>0</v>
  </rv>
  <rv s="0">
    <v>https://www.bing.com/financeapi/forcetrigger?t=apnetc&amp;q=BVMF%3aTAEE3&amp;form=skydnc</v>
    <v>Learn more on Bing</v>
  </rv>
  <rv s="7">
    <v>pt-BR</v>
    <v>apnetc</v>
    <v>268435456</v>
    <v>1</v>
    <v>Da plataforma Refinitiv</v>
    <v>14</v>
    <v>15</v>
    <v>Transmissora Aliança de Energia Elétrica S/A (BVMF:TAEE3)</v>
    <v>12</v>
    <v>16</v>
    <v>Finance</v>
    <v>5</v>
    <v>12.19</v>
    <v>10.16</v>
    <v>BVMF</v>
    <v>344498900</v>
    <v>11.35</v>
    <v>2006</v>
    <v>11.15</v>
    <v>0.68859999999999999</v>
    <v>B3 - Brazil Stock Exchange</v>
    <v>11706070000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11.27</v>
    <v>854</v>
    <v>45821.958333333336</v>
    <v>819</v>
    <v>1626780</v>
    <v>BRL</v>
    <v>Transmissora Aliança de Energia Elétrica S/A</v>
    <v>Transmissora Aliança de Energia Elétrica S/A</v>
    <v>11.2</v>
    <v>11.34</v>
    <v>Av. das Americas, 2480 Bloco 6, Barra da Tijuca, RIO DE JANEIRO, RIO DE JANEIRO, 22.640-101 BR</v>
    <v>Electrical Utilities &amp; IPPs</v>
    <v>TAEE3</v>
    <v>Ações</v>
    <v>Transmissora Aliança de Energia Elétrica S/A (BVMF:TAEE3)</v>
    <v>7.0000000000000007E-2</v>
    <v>6.2109999999999995E-3</v>
    <v>52300</v>
  </rv>
  <rv s="2">
    <v>820</v>
  </rv>
</rvData>
</file>

<file path=xl/richData/rdrichvaluestructure.xml><?xml version="1.0" encoding="utf-8"?>
<rvStructures xmlns="http://schemas.microsoft.com/office/spreadsheetml/2017/richdata" count="1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s t="_error">
    <k n="errorType" t="i"/>
    <k n="field" t="s"/>
    <k n="subType" t="i"/>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2">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7">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8</v>
      <v>Name</v>
      <v>LearnMoreOnLink</v>
    </spb>
    <spb s="26">
      <v>1</v>
      <v>2</v>
      <v>3</v>
      <v>1</v>
      <v>1</v>
      <v>4</v>
      <v>1</v>
      <v>1</v>
      <v>4</v>
      <v>5</v>
      <v>4</v>
      <v>6</v>
      <v>1</v>
      <v>1</v>
      <v>9</v>
      <v>4</v>
      <v>1</v>
      <v>7</v>
      <v>8</v>
      <v>1</v>
    </spb>
    <spb s="27">
      <v xml:space="preserve">no fechamento </v>
      <v xml:space="preserve">do fechamento anterior </v>
      <v xml:space="preserve">do fechamento anterior </v>
      <v>GMT</v>
      <v>Atraso de 30 minutos</v>
    </spb>
    <spb s="28">
      <v>High</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9</v>
      <v>Name</v>
      <v>LearnMoreOnLink</v>
    </spb>
    <spb s="29">
      <v>1</v>
      <v>3</v>
      <v>1</v>
      <v>1</v>
      <v>4</v>
      <v>1</v>
      <v>1</v>
      <v>4</v>
      <v>5</v>
      <v>4</v>
      <v>6</v>
      <v>1</v>
      <v>1</v>
      <v>9</v>
      <v>4</v>
      <v>1</v>
      <v>7</v>
      <v>8</v>
    </spb>
    <spb s="30">
      <v>High</v>
      <v>Name</v>
      <v>Low</v>
      <v>Exchange</v>
      <v>Currency</v>
      <v>Price</v>
      <v>Volume</v>
      <v>Change</v>
      <v>Open</v>
      <v>UniqueName</v>
      <v>Change (%)</v>
      <v>%ProviderInfo</v>
      <v>Ticker symbol</v>
      <v>52 week high</v>
      <v>52 week low</v>
      <v>Previous close</v>
      <v>Instrument type</v>
      <v>Exchange abbreviation</v>
      <v>Market cap</v>
      <v>Last trade time</v>
    </spb>
    <spb s="31">
      <v>10</v>
      <v>Name</v>
    </spb>
    <spb s="32">
      <v>2</v>
      <v>2</v>
    </spb>
    <spb s="33">
      <v>11</v>
      <v>3</v>
      <v>11</v>
      <v>11</v>
      <v>4</v>
      <v>11</v>
      <v>11</v>
      <v>5</v>
      <v>6</v>
      <v>11</v>
      <v>11</v>
      <v>11</v>
      <v>12</v>
      <v>8</v>
    </spb>
    <spb s="34">
      <v xml:space="preserve">do fechamento anterior </v>
      <v xml:space="preserve">do fechamento anterior </v>
      <v>GMT</v>
    </spb>
    <spb s="35">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11</v>
      <v>Name</v>
      <v>LearnMoreOnLink</v>
    </spb>
    <spb s="36">
      <v>1</v>
      <v>2</v>
      <v>3</v>
      <v>1</v>
      <v>1</v>
      <v>4</v>
      <v>1</v>
      <v>1</v>
      <v>5</v>
      <v>6</v>
      <v>1</v>
      <v>1</v>
      <v>9</v>
      <v>4</v>
      <v>1</v>
      <v>7</v>
      <v>8</v>
    </spb>
  </spbData>
</supportingPropertyBags>
</file>

<file path=xl/richData/rdsupportingpropertybagstructure.xml><?xml version="1.0" encoding="utf-8"?>
<spbStructures xmlns="http://schemas.microsoft.com/office/spreadsheetml/2017/richdata2" count="37">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FA277"/>
  <sheetViews>
    <sheetView topLeftCell="CC1" zoomScale="110" zoomScaleNormal="110" workbookViewId="0">
      <selection activeCell="CH273" sqref="CH273"/>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7" width="8.140625" style="6" customWidth="1"/>
    <col min="58" max="58" width="9.85546875" style="6" customWidth="1"/>
    <col min="59" max="59" width="8.28515625" style="6" customWidth="1"/>
    <col min="60" max="60" width="8.140625" style="7" customWidth="1"/>
    <col min="61" max="61" width="3.42578125" style="28" customWidth="1"/>
    <col min="62" max="62" width="7" style="19" customWidth="1"/>
    <col min="63" max="63" width="6.7109375" style="7" customWidth="1"/>
    <col min="64" max="64" width="9" style="7" customWidth="1"/>
    <col min="65" max="65" width="1.5703125" customWidth="1"/>
    <col min="66" max="66" width="1.7109375" style="28" customWidth="1"/>
    <col min="67" max="67" width="7.28515625" style="1" customWidth="1"/>
    <col min="68" max="68" width="7.7109375" style="1" customWidth="1"/>
    <col min="69" max="69" width="2.28515625" style="28" customWidth="1"/>
    <col min="70" max="70" width="7.5703125" style="28" customWidth="1"/>
    <col min="71" max="71" width="1.42578125" customWidth="1"/>
    <col min="72" max="72" width="7.7109375" style="8" customWidth="1"/>
    <col min="73" max="73" width="6.5703125" style="28" customWidth="1"/>
    <col min="74" max="74" width="1.85546875" style="28" customWidth="1"/>
    <col min="75" max="75" width="6.85546875" style="17" customWidth="1"/>
    <col min="76" max="76" width="8.5703125" style="17" customWidth="1"/>
    <col min="77" max="77" width="9.42578125" style="17" customWidth="1"/>
    <col min="78" max="79" width="1.85546875" style="17" customWidth="1"/>
    <col min="80" max="80" width="7.28515625" style="1" customWidth="1"/>
    <col min="81" max="81" width="7.42578125" style="1" customWidth="1"/>
    <col min="82" max="82" width="8.140625" style="1" customWidth="1"/>
    <col min="83" max="83" width="5.85546875" style="99" customWidth="1"/>
    <col min="84" max="84" width="1.42578125" style="17" customWidth="1"/>
    <col min="85" max="85" width="6.42578125" style="1" customWidth="1"/>
    <col min="86" max="86" width="7" style="1" customWidth="1"/>
    <col min="87" max="87" width="7.28515625" style="1" customWidth="1"/>
    <col min="88" max="88" width="6.85546875" style="1" customWidth="1"/>
    <col min="89" max="89" width="7.7109375" style="1" customWidth="1"/>
    <col min="90" max="91" width="6.85546875" style="1" customWidth="1"/>
    <col min="92" max="92" width="9" style="1" customWidth="1"/>
    <col min="93" max="93" width="10.42578125" style="1" customWidth="1"/>
    <col min="94" max="94" width="9.42578125" style="1" customWidth="1"/>
    <col min="95" max="108" width="8.140625" style="1" customWidth="1"/>
    <col min="109" max="109" width="2.7109375" customWidth="1"/>
    <col min="110" max="110" width="6.7109375" style="1" customWidth="1"/>
    <col min="111" max="111" width="7.28515625" style="1" customWidth="1"/>
    <col min="112" max="112" width="7.5703125" style="1" customWidth="1"/>
    <col min="113" max="113" width="8.7109375" style="1" customWidth="1"/>
    <col min="114" max="114" width="9.28515625" style="1" customWidth="1"/>
    <col min="115" max="115" width="9.140625" style="1" customWidth="1"/>
    <col min="116" max="116" width="3.28515625" style="1" customWidth="1"/>
    <col min="117" max="117" width="3" style="1" customWidth="1"/>
    <col min="118" max="118" width="1.85546875" style="1" customWidth="1"/>
    <col min="119" max="119" width="1.5703125" style="1" customWidth="1"/>
    <col min="120" max="120" width="8.140625" style="1" customWidth="1"/>
    <col min="121" max="121" width="8" style="1" customWidth="1"/>
    <col min="122" max="122" width="9.140625" style="1" customWidth="1"/>
    <col min="123" max="123" width="9" style="7" customWidth="1"/>
    <col min="124" max="124" width="1.5703125" style="1" customWidth="1"/>
    <col min="125" max="125" width="6" style="1" customWidth="1"/>
    <col min="126" max="126" width="3.85546875" style="1" customWidth="1"/>
    <col min="127" max="127" width="4.42578125" style="1" customWidth="1"/>
    <col min="128" max="128" width="7.7109375" style="1" customWidth="1"/>
    <col min="129" max="129" width="1.28515625" style="1" customWidth="1"/>
    <col min="130" max="130" width="1.7109375" style="1" customWidth="1"/>
    <col min="131" max="131" width="9" style="22" customWidth="1"/>
    <col min="132" max="133" width="7.85546875" style="7" customWidth="1"/>
    <col min="134" max="136" width="2.28515625" style="1" customWidth="1"/>
    <col min="137" max="137" width="12" style="1" customWidth="1"/>
    <col min="138" max="138" width="6.5703125" style="1" customWidth="1"/>
    <col min="139" max="139" width="16.85546875" style="1" customWidth="1"/>
    <col min="140" max="140" width="15.85546875" style="1" customWidth="1"/>
    <col min="141" max="141" width="15.28515625" style="1" customWidth="1"/>
    <col min="142" max="142" width="1.85546875" style="1" customWidth="1"/>
    <col min="143" max="143" width="9.28515625" style="1" bestFit="1" customWidth="1"/>
    <col min="144" max="144" width="9.140625" style="1" customWidth="1"/>
    <col min="145" max="145" width="10.5703125" customWidth="1"/>
    <col min="146" max="146" width="8.28515625" style="1" customWidth="1"/>
    <col min="147" max="147" width="15.85546875" style="1" customWidth="1"/>
    <col min="148" max="148" width="1.42578125" style="1" customWidth="1"/>
    <col min="149" max="150" width="12.28515625" style="1" customWidth="1"/>
    <col min="151" max="151" width="13.85546875" style="1" customWidth="1"/>
    <col min="152" max="152" width="9" style="1" customWidth="1"/>
    <col min="153" max="153" width="10.28515625" style="1" customWidth="1"/>
    <col min="154" max="154" width="2" customWidth="1"/>
    <col min="155" max="155" width="11.7109375" style="1" customWidth="1"/>
    <col min="156" max="156" width="10.85546875" style="1" customWidth="1"/>
    <col min="157" max="157" width="3.7109375" customWidth="1"/>
    <col min="158" max="158" width="32.7109375" style="1" customWidth="1"/>
    <col min="159" max="16384" width="5.7109375" style="1"/>
  </cols>
  <sheetData>
    <row r="1" spans="1:156" x14ac:dyDescent="0.25">
      <c r="BE1" s="31">
        <v>1.3136687469691128</v>
      </c>
      <c r="BF1" s="31">
        <v>0.69664113256520421</v>
      </c>
      <c r="BG1" s="31" cm="1">
        <f t="array" aca="1" ref="BG1" ca="1">(AVERAGE(IF(ISERROR(CE5:CE270), "", CE5:CE270)))*2</f>
        <v>13.492241235325034</v>
      </c>
      <c r="BH1" s="89" t="s">
        <v>278</v>
      </c>
      <c r="BK1" s="89"/>
      <c r="BL1" s="89"/>
    </row>
    <row r="2" spans="1:156" x14ac:dyDescent="0.25">
      <c r="BE2" s="8">
        <v>0</v>
      </c>
      <c r="BF2" s="8">
        <v>-1.6317999999999999E-2</v>
      </c>
      <c r="BG2" s="8" cm="1">
        <f t="array" aca="1" ref="BG2" ca="1">_FV(BH2,"Variação (%)",TRUE)</f>
        <v>1.2742E-2</v>
      </c>
      <c r="BH2" s="1" t="e" vm="1">
        <v>#VALUE!</v>
      </c>
      <c r="BK2" s="1"/>
      <c r="BL2" s="1"/>
      <c r="DP2" s="82">
        <f ca="1">$BG$3*100</f>
        <v>-0.42609999999999998</v>
      </c>
    </row>
    <row r="3" spans="1:156" x14ac:dyDescent="0.25">
      <c r="BC3" s="8"/>
      <c r="BE3" s="8">
        <v>-1.0879000000000002E-2</v>
      </c>
      <c r="BF3" s="8">
        <v>-9.8559999999999989E-4</v>
      </c>
      <c r="BG3" s="8" cm="1">
        <f t="array" aca="1" ref="BG3" ca="1">_FV(BH3,"Variação (%)",TRUE)</f>
        <v>-4.261E-3</v>
      </c>
      <c r="BH3" s="1" t="e" vm="2">
        <v>#VALUE!</v>
      </c>
      <c r="BJ3" s="45"/>
      <c r="BK3" s="1"/>
      <c r="BL3" s="1"/>
      <c r="BO3" s="48"/>
      <c r="BP3" s="48"/>
      <c r="BU3" s="48"/>
      <c r="BV3" s="48"/>
      <c r="BW3" s="48"/>
      <c r="BX3" s="48"/>
      <c r="BY3" s="48"/>
      <c r="BZ3" s="48"/>
      <c r="CA3" s="48"/>
      <c r="CB3" s="45"/>
      <c r="CC3" s="45"/>
      <c r="CD3" s="45"/>
      <c r="CE3" s="100"/>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28"/>
      <c r="DG3" s="48"/>
      <c r="DH3" s="48"/>
      <c r="DI3" s="48"/>
      <c r="DJ3" s="28"/>
      <c r="DK3" s="8"/>
      <c r="DL3" s="45"/>
      <c r="DM3" s="45"/>
      <c r="DN3" s="45"/>
      <c r="DO3" s="45"/>
      <c r="DP3" s="45" t="s">
        <v>483</v>
      </c>
      <c r="DQ3" s="45"/>
      <c r="DR3" s="45"/>
      <c r="DS3" s="45"/>
      <c r="DT3" s="45"/>
      <c r="DU3" s="45"/>
      <c r="DV3" s="45"/>
      <c r="DW3" s="45"/>
      <c r="DX3" s="45"/>
      <c r="DY3" s="45"/>
      <c r="DZ3" s="45"/>
      <c r="EA3" s="45"/>
      <c r="EB3" s="45"/>
      <c r="EC3" s="45"/>
      <c r="EM3" s="103" t="s">
        <v>484</v>
      </c>
      <c r="EN3" s="103"/>
      <c r="EO3" s="103"/>
      <c r="EP3" s="103"/>
      <c r="EQ3" s="103"/>
      <c r="ER3" s="7"/>
      <c r="ES3" s="103" t="s">
        <v>476</v>
      </c>
      <c r="ET3" s="103"/>
      <c r="EU3" s="103"/>
      <c r="EV3" s="103"/>
      <c r="EW3" s="103"/>
      <c r="EY3" s="103" t="s">
        <v>478</v>
      </c>
      <c r="EZ3" s="103"/>
    </row>
    <row r="4" spans="1:156" s="3" customFormat="1" ht="11.25" x14ac:dyDescent="0.2">
      <c r="A4" s="11">
        <v>45415</v>
      </c>
      <c r="B4" s="11">
        <v>45422</v>
      </c>
      <c r="C4" s="11">
        <v>45429</v>
      </c>
      <c r="D4" s="11">
        <v>45436</v>
      </c>
      <c r="E4" s="11">
        <v>45443</v>
      </c>
      <c r="F4" s="11">
        <v>45450</v>
      </c>
      <c r="G4" s="11">
        <v>45457</v>
      </c>
      <c r="H4" s="11">
        <v>45464</v>
      </c>
      <c r="I4" s="11">
        <v>45471</v>
      </c>
      <c r="J4" s="11">
        <v>45478</v>
      </c>
      <c r="K4" s="11">
        <v>45485</v>
      </c>
      <c r="L4" s="11">
        <v>45492</v>
      </c>
      <c r="M4" s="11">
        <v>45499</v>
      </c>
      <c r="N4" s="11" t="s">
        <v>0</v>
      </c>
      <c r="O4" s="11">
        <v>45513</v>
      </c>
      <c r="P4" s="11" t="s">
        <v>1</v>
      </c>
      <c r="Q4" s="11">
        <v>45528</v>
      </c>
      <c r="R4" s="11">
        <v>45534</v>
      </c>
      <c r="S4" s="11" t="s">
        <v>2</v>
      </c>
      <c r="T4" s="11">
        <v>45548</v>
      </c>
      <c r="U4" s="11">
        <v>45555</v>
      </c>
      <c r="V4" s="11">
        <v>45562</v>
      </c>
      <c r="W4" s="11">
        <v>45569</v>
      </c>
      <c r="X4" s="11">
        <v>45576</v>
      </c>
      <c r="Y4" s="11">
        <v>45583</v>
      </c>
      <c r="Z4" s="11">
        <v>45590</v>
      </c>
      <c r="AA4" s="11">
        <v>45597</v>
      </c>
      <c r="AB4" s="11">
        <v>45604</v>
      </c>
      <c r="AC4" s="11">
        <v>45611</v>
      </c>
      <c r="AD4" s="11">
        <v>45618</v>
      </c>
      <c r="AE4" s="11">
        <v>45625</v>
      </c>
      <c r="AF4" s="11">
        <v>45632</v>
      </c>
      <c r="AG4" s="11">
        <v>45639</v>
      </c>
      <c r="AH4" s="11">
        <v>45649</v>
      </c>
      <c r="AI4" s="11">
        <v>45653</v>
      </c>
      <c r="AJ4" s="11">
        <v>45660</v>
      </c>
      <c r="AK4" s="11">
        <v>45667</v>
      </c>
      <c r="AL4" s="11">
        <v>45674</v>
      </c>
      <c r="AM4" s="11">
        <v>45681</v>
      </c>
      <c r="AN4" s="11">
        <v>45688</v>
      </c>
      <c r="AO4" s="11">
        <v>45695</v>
      </c>
      <c r="AP4" s="11">
        <v>45702</v>
      </c>
      <c r="AQ4" s="11">
        <v>45709</v>
      </c>
      <c r="AR4" s="11">
        <v>45716</v>
      </c>
      <c r="AS4" s="11">
        <v>45723</v>
      </c>
      <c r="AT4" s="11">
        <v>45730</v>
      </c>
      <c r="AU4" s="11">
        <v>45737</v>
      </c>
      <c r="AV4" s="11">
        <v>45744</v>
      </c>
      <c r="AW4" s="11">
        <v>45751</v>
      </c>
      <c r="AX4" s="11">
        <v>45758</v>
      </c>
      <c r="AY4" s="11">
        <v>45765</v>
      </c>
      <c r="AZ4" s="11">
        <v>45772</v>
      </c>
      <c r="BA4" s="11">
        <v>45778</v>
      </c>
      <c r="BB4" s="61">
        <v>45785</v>
      </c>
      <c r="BC4" s="61">
        <v>45792</v>
      </c>
      <c r="BD4" s="61">
        <v>45800</v>
      </c>
      <c r="BE4" s="61">
        <v>45807</v>
      </c>
      <c r="BF4" s="61">
        <v>45814</v>
      </c>
      <c r="BG4" s="92" t="s">
        <v>272</v>
      </c>
      <c r="BH4" s="49" t="s">
        <v>486</v>
      </c>
      <c r="BI4" s="3" t="s">
        <v>288</v>
      </c>
      <c r="BJ4" s="36" t="s">
        <v>487</v>
      </c>
      <c r="BK4" s="49" t="s">
        <v>521</v>
      </c>
      <c r="BL4" s="49" t="s">
        <v>520</v>
      </c>
      <c r="BO4" s="49" t="s">
        <v>489</v>
      </c>
      <c r="BP4" s="49" t="s">
        <v>490</v>
      </c>
      <c r="BR4" s="76" t="s">
        <v>491</v>
      </c>
      <c r="BT4" s="61" t="s">
        <v>510</v>
      </c>
      <c r="BU4" s="49" t="s">
        <v>493</v>
      </c>
      <c r="BW4" s="72" t="s">
        <v>494</v>
      </c>
      <c r="BX4" s="72" t="s">
        <v>495</v>
      </c>
      <c r="BY4" s="72" t="s">
        <v>496</v>
      </c>
      <c r="BZ4" s="17"/>
      <c r="CA4" s="17"/>
      <c r="CB4" s="49" t="s">
        <v>508</v>
      </c>
      <c r="CC4" s="49" t="s">
        <v>507</v>
      </c>
      <c r="CD4" s="49" t="s">
        <v>509</v>
      </c>
      <c r="CE4" s="101" t="s">
        <v>520</v>
      </c>
      <c r="CF4" s="17"/>
      <c r="CG4" s="49" t="s">
        <v>497</v>
      </c>
      <c r="CH4" s="49" t="s">
        <v>498</v>
      </c>
      <c r="CI4" s="49" t="s">
        <v>499</v>
      </c>
      <c r="CJ4" s="49" t="s">
        <v>500</v>
      </c>
      <c r="CK4" s="49" t="s">
        <v>501</v>
      </c>
      <c r="CL4" s="49" t="s">
        <v>502</v>
      </c>
      <c r="CM4" s="49" t="s">
        <v>503</v>
      </c>
      <c r="CN4" s="3" t="s">
        <v>504</v>
      </c>
      <c r="CO4" s="3" t="s">
        <v>505</v>
      </c>
      <c r="CP4" s="8" t="s">
        <v>268</v>
      </c>
      <c r="CQ4" s="49" t="s">
        <v>275</v>
      </c>
      <c r="CR4" s="36" t="s">
        <v>269</v>
      </c>
      <c r="CS4" s="36" t="s">
        <v>271</v>
      </c>
      <c r="CT4" s="36" t="s">
        <v>270</v>
      </c>
      <c r="CU4" s="36" t="s">
        <v>280</v>
      </c>
      <c r="CV4" s="36" t="s">
        <v>281</v>
      </c>
      <c r="CW4" s="36" t="s">
        <v>282</v>
      </c>
      <c r="CX4" s="36" t="s">
        <v>284</v>
      </c>
      <c r="CY4" s="36" t="s">
        <v>281</v>
      </c>
      <c r="CZ4" s="36" t="s">
        <v>283</v>
      </c>
      <c r="DA4" s="36" t="s">
        <v>270</v>
      </c>
      <c r="DB4" s="36" t="s">
        <v>271</v>
      </c>
      <c r="DC4" s="36" t="s">
        <v>269</v>
      </c>
      <c r="DD4" s="49" t="s">
        <v>275</v>
      </c>
      <c r="DF4" s="49" t="s">
        <v>273</v>
      </c>
      <c r="DG4" s="49" t="s">
        <v>279</v>
      </c>
      <c r="DH4" s="3" t="s">
        <v>274</v>
      </c>
      <c r="DI4" s="49" t="s">
        <v>276</v>
      </c>
      <c r="DJ4" s="49" t="s">
        <v>504</v>
      </c>
      <c r="DK4" s="49" t="s">
        <v>505</v>
      </c>
      <c r="DP4" s="61" t="s">
        <v>488</v>
      </c>
      <c r="DQ4" s="61" t="s">
        <v>488</v>
      </c>
      <c r="DR4" s="61" t="s">
        <v>488</v>
      </c>
      <c r="DS4" s="61" t="s">
        <v>488</v>
      </c>
      <c r="DU4" s="49" t="s">
        <v>277</v>
      </c>
      <c r="DV4" s="49" t="s">
        <v>512</v>
      </c>
      <c r="DW4" s="49" t="s">
        <v>513</v>
      </c>
      <c r="DX4" s="49" t="s">
        <v>511</v>
      </c>
      <c r="EA4" s="62" t="s">
        <v>506</v>
      </c>
      <c r="EB4" s="61" t="s">
        <v>285</v>
      </c>
      <c r="EC4" s="49" t="s">
        <v>285</v>
      </c>
      <c r="EG4" s="3" t="s">
        <v>470</v>
      </c>
      <c r="EH4" s="3" t="s">
        <v>292</v>
      </c>
      <c r="EI4" s="3" t="s">
        <v>469</v>
      </c>
      <c r="EJ4" s="49" t="s">
        <v>471</v>
      </c>
      <c r="EK4" s="49" t="s">
        <v>471</v>
      </c>
      <c r="EM4" s="49" t="s">
        <v>480</v>
      </c>
      <c r="EN4" s="49" t="s">
        <v>481</v>
      </c>
      <c r="EO4" s="49" t="s">
        <v>482</v>
      </c>
      <c r="EP4" s="49" t="s">
        <v>292</v>
      </c>
      <c r="EQ4" s="49" t="s">
        <v>473</v>
      </c>
      <c r="ES4" s="49" t="s">
        <v>304</v>
      </c>
      <c r="ET4" s="49" t="s">
        <v>477</v>
      </c>
      <c r="EU4" s="49" t="s">
        <v>475</v>
      </c>
      <c r="EV4" s="49" t="s">
        <v>492</v>
      </c>
      <c r="EW4" s="49" t="s">
        <v>474</v>
      </c>
      <c r="EY4" s="49" t="s">
        <v>479</v>
      </c>
      <c r="EZ4" s="49" t="s">
        <v>472</v>
      </c>
    </row>
    <row r="5" spans="1:156" s="2" customFormat="1" ht="11.25" hidden="1" x14ac:dyDescent="0.2">
      <c r="A5" s="4">
        <v>9</v>
      </c>
      <c r="B5" s="4">
        <v>9</v>
      </c>
      <c r="C5" s="4">
        <v>9</v>
      </c>
      <c r="D5" s="4">
        <v>9</v>
      </c>
      <c r="E5" s="4">
        <v>9</v>
      </c>
      <c r="F5" s="4">
        <v>9</v>
      </c>
      <c r="G5" s="4">
        <v>9</v>
      </c>
      <c r="H5" s="4">
        <v>9</v>
      </c>
      <c r="I5" s="4">
        <v>9</v>
      </c>
      <c r="J5" s="4">
        <v>8.24</v>
      </c>
      <c r="K5" s="4">
        <v>8.24</v>
      </c>
      <c r="L5" s="4">
        <v>8.24</v>
      </c>
      <c r="M5" s="4">
        <v>8.24</v>
      </c>
      <c r="N5" s="4">
        <v>8.24</v>
      </c>
      <c r="O5" s="4">
        <v>8.24</v>
      </c>
      <c r="P5" s="4">
        <v>8.24</v>
      </c>
      <c r="Q5" s="4">
        <v>8.24</v>
      </c>
      <c r="R5" s="4">
        <v>8.24</v>
      </c>
      <c r="S5" s="4">
        <v>8.24</v>
      </c>
      <c r="T5" s="4">
        <v>8.24</v>
      </c>
      <c r="U5" s="4">
        <v>8.24</v>
      </c>
      <c r="V5" s="4">
        <v>8.24</v>
      </c>
      <c r="W5" s="4">
        <v>8.24</v>
      </c>
      <c r="X5" s="4">
        <v>8.24</v>
      </c>
      <c r="Y5" s="4">
        <v>8.24</v>
      </c>
      <c r="Z5" s="4">
        <v>8.24</v>
      </c>
      <c r="AA5" s="4">
        <v>8.24</v>
      </c>
      <c r="AB5" s="4">
        <v>8.24</v>
      </c>
      <c r="AC5" s="4">
        <v>8.24</v>
      </c>
      <c r="AD5" s="4">
        <v>8.24</v>
      </c>
      <c r="AE5" s="4">
        <v>8.24</v>
      </c>
      <c r="AF5" s="4">
        <v>8.24</v>
      </c>
      <c r="AG5" s="4">
        <v>8.24</v>
      </c>
      <c r="AH5" s="4">
        <v>8.24</v>
      </c>
      <c r="AI5" s="4">
        <v>8.24</v>
      </c>
      <c r="AJ5" s="4">
        <v>8.24</v>
      </c>
      <c r="AK5" s="4">
        <v>8.24</v>
      </c>
      <c r="AL5" s="4">
        <v>8.24</v>
      </c>
      <c r="AM5" s="4">
        <v>8.24</v>
      </c>
      <c r="AN5" s="4">
        <v>8.24</v>
      </c>
      <c r="AO5" s="4">
        <v>8.24</v>
      </c>
      <c r="AP5" s="4">
        <v>8.24</v>
      </c>
      <c r="AQ5" s="4">
        <v>8.24</v>
      </c>
      <c r="AR5" s="4">
        <v>8.24</v>
      </c>
      <c r="AS5" s="4">
        <v>8.24</v>
      </c>
      <c r="AT5" s="4">
        <v>8.24</v>
      </c>
      <c r="AU5" s="4">
        <v>8.24</v>
      </c>
      <c r="AV5" s="4">
        <v>8.24</v>
      </c>
      <c r="AW5" s="4">
        <v>8.24</v>
      </c>
      <c r="AX5" s="4">
        <v>8.25</v>
      </c>
      <c r="AY5" s="12">
        <v>8.25</v>
      </c>
      <c r="AZ5" s="12">
        <v>8.25</v>
      </c>
      <c r="BA5" s="12">
        <v>8.25</v>
      </c>
      <c r="BB5" s="18">
        <v>8.25</v>
      </c>
      <c r="BC5" s="63">
        <v>8.25</v>
      </c>
      <c r="BD5" s="63">
        <v>8.25</v>
      </c>
      <c r="BE5" s="63">
        <v>8.25</v>
      </c>
      <c r="BF5" s="63">
        <v>8.25</v>
      </c>
      <c r="BG5" s="91" cm="1">
        <f t="array" aca="1" ref="BG5" ca="1">_FV(EE5,"Preço")</f>
        <v>8.0500000000000007</v>
      </c>
      <c r="BH5" s="93" t="s">
        <v>3</v>
      </c>
      <c r="BI5" s="32" cm="1">
        <f t="array" aca="1" ref="BI5" ca="1">_FV(EE5,"Beta")</f>
        <v>0.56799999999999995</v>
      </c>
      <c r="BJ5" s="96" cm="1">
        <f t="array" aca="1" ref="BJ5" ca="1">_FV(EE5,"Variação (%)",TRUE)</f>
        <v>6.0606E-2</v>
      </c>
      <c r="BK5" s="49"/>
      <c r="BL5" s="49"/>
      <c r="BN5" s="32"/>
      <c r="BO5" s="20" cm="1">
        <f t="array" aca="1" ref="BO5" ca="1">_FV(EE5,"Baixo")</f>
        <v>8.0500000000000007</v>
      </c>
      <c r="BP5" s="20" cm="1">
        <f t="array" aca="1" ref="BP5" ca="1">_FV(EE5,"Alto")</f>
        <v>8.0500000000000007</v>
      </c>
      <c r="BQ5" s="32"/>
      <c r="BR5" s="74">
        <f ca="1">SQRT(22.5*(BG5/VLOOKUP(BH5,Fundamentus!A:U,3,FALSE))*(BG5/VLOOKUP(BH5,Fundamentus!A:U,4,FALSE)))</f>
        <v>6.7743068166810652</v>
      </c>
      <c r="BT5" s="73">
        <f t="shared" ref="BT5:BT68" ca="1" si="0">(BG5 - BF5) / BF5</f>
        <v>-2.4242424242424156E-2</v>
      </c>
      <c r="BU5" s="36">
        <f t="shared" ref="BU5:BU68" si="1">(BE5 - A5) / A5</f>
        <v>-8.3333333333333329E-2</v>
      </c>
      <c r="BV5" s="8"/>
      <c r="BW5" s="72">
        <f t="shared" ref="BW5:BW68" si="2">MIN(A5:BF5)</f>
        <v>8.24</v>
      </c>
      <c r="BX5" s="72">
        <f t="shared" ref="BX5:BX68" si="3">AVERAGE(A5:BF5)</f>
        <v>8.3594827586206932</v>
      </c>
      <c r="BY5" s="72">
        <f t="shared" ref="BY5:BY68" si="4">MAX(A5:BF5)</f>
        <v>9</v>
      </c>
      <c r="BZ5" s="17"/>
      <c r="CA5" s="17"/>
      <c r="CB5" s="43">
        <f t="shared" ref="CB5:CB68" si="5">CC5-DU5*2</f>
        <v>8.25</v>
      </c>
      <c r="CC5" s="18">
        <f t="shared" ref="CC5:CC68" si="6">FORECAST("13/06/2025", BC5:BF5, $BC$4:$BF$4)</f>
        <v>8.25</v>
      </c>
      <c r="CD5" s="43">
        <f t="shared" ref="CD5:CD68" si="7">CC5+DU5*2</f>
        <v>8.25</v>
      </c>
      <c r="CE5" s="98" t="e">
        <f t="shared" ref="CE5:CE68" ca="1" si="8">(BG5-CC5)/(CC5-CB5)</f>
        <v>#DIV/0!</v>
      </c>
      <c r="CF5" s="17"/>
      <c r="CG5" s="20">
        <f t="shared" ref="CG5:CG68" si="9">BW5-2*(BY5-CJ5)</f>
        <v>7.2333333333333361</v>
      </c>
      <c r="CH5" s="20">
        <f t="shared" ref="CH5:CH68" si="10">CJ5-(BY5-BW5)</f>
        <v>7.7366666666666681</v>
      </c>
      <c r="CI5" s="20">
        <f t="shared" ref="CI5:CI68" si="11">2*CJ5-BY5</f>
        <v>7.9933333333333358</v>
      </c>
      <c r="CJ5" s="49">
        <f t="shared" ref="CJ5:CJ68" si="12">(BY5+BW5+BF5)/3</f>
        <v>8.4966666666666679</v>
      </c>
      <c r="CK5" s="20">
        <f t="shared" ref="CK5:CK68" si="13">2*CJ5-BW5</f>
        <v>8.7533333333333356</v>
      </c>
      <c r="CL5" s="20">
        <f t="shared" ref="CL5:CL68" si="14">CJ5+(BY5-BW5)</f>
        <v>9.2566666666666677</v>
      </c>
      <c r="CM5" s="20">
        <f t="shared" ref="CM5:CM68" si="15">BY5+2*(CJ5-BW5)</f>
        <v>9.5133333333333354</v>
      </c>
      <c r="CN5" s="2" cm="1">
        <f t="array" aca="1" ref="CN5" ca="1">MAX(_xlfn._xlws.FILTER(CG5:CM5,CG5:CM5&lt;BG5))</f>
        <v>7.9933333333333358</v>
      </c>
      <c r="CO5" s="2" cm="1">
        <f t="array" aca="1" ref="CO5" ca="1">MIN(_xlfn._xlws.FILTER($CG5:$CM5,$CG5:$CM5&gt;BG5))</f>
        <v>8.4966666666666679</v>
      </c>
      <c r="CP5" s="19">
        <f ca="1">(CO5/CN5)-1</f>
        <v>6.2969140950792202E-2</v>
      </c>
      <c r="CQ5" s="23">
        <f ca="1">-$CP5/2</f>
        <v>-3.1484570475396101E-2</v>
      </c>
      <c r="CR5" s="23">
        <f ca="1">-$CP5/3</f>
        <v>-2.0989713650264068E-2</v>
      </c>
      <c r="CS5" s="23">
        <f ca="1">-$CP5/5</f>
        <v>-1.2593828190158441E-2</v>
      </c>
      <c r="CT5" s="23">
        <f ca="1">-$CP5/9</f>
        <v>-6.9965712167546889E-3</v>
      </c>
      <c r="CU5" s="23">
        <f t="shared" ref="CU5:CU6" ca="1" si="16">-$CP5/17</f>
        <v>-3.7040671147524824E-3</v>
      </c>
      <c r="CV5" s="23">
        <f t="shared" ref="CV5:CV6" ca="1" si="17">-$CP5/33</f>
        <v>-1.9081557863876424E-3</v>
      </c>
      <c r="CW5" s="23">
        <f t="shared" ref="CW5:CW6" ca="1" si="18">-$CP5/65</f>
        <v>-9.6875601462757235E-4</v>
      </c>
      <c r="CX5" s="24">
        <f t="shared" ref="CX5:CX6" ca="1" si="19">-$CP5/65*-1</f>
        <v>9.6875601462757235E-4</v>
      </c>
      <c r="CY5" s="24">
        <f t="shared" ref="CY5:CY6" ca="1" si="20">-$CP5/33*-1</f>
        <v>1.9081557863876424E-3</v>
      </c>
      <c r="CZ5" s="24">
        <f t="shared" ref="CZ5:CZ6" ca="1" si="21">-$CP5/17*-1</f>
        <v>3.7040671147524824E-3</v>
      </c>
      <c r="DA5" s="24">
        <f ca="1">-$CP5/9*-1</f>
        <v>6.9965712167546889E-3</v>
      </c>
      <c r="DB5" s="24">
        <f ca="1">-$CP5/5*-1</f>
        <v>1.2593828190158441E-2</v>
      </c>
      <c r="DC5" s="24">
        <f ca="1">-$CP5/3*-1</f>
        <v>2.0989713650264068E-2</v>
      </c>
      <c r="DD5" s="24">
        <f ca="1">-$CP5/2*-1</f>
        <v>3.1484570475396101E-2</v>
      </c>
      <c r="DF5" s="19" cm="1">
        <f t="array" aca="1" ref="DF5" ca="1">MAX(_xlfn._xlws.FILTER(CQ5:DD5,CQ5:DD5&lt;BJ5))</f>
        <v>3.1484570475396101E-2</v>
      </c>
      <c r="DG5" s="19" t="e" cm="1" vm="3">
        <f t="array" aca="1" ref="DG5" ca="1">MIN(_xlfn._xlws.FILTER(CQ5:DD5,CQ5:DD5&gt;BJ5))</f>
        <v>#VALUE!</v>
      </c>
      <c r="DH5" s="2" cm="1">
        <f t="array" aca="1" ref="DH5" ca="1">_FV(EE5,"Fechamento anterior",TRUE)</f>
        <v>7.59</v>
      </c>
      <c r="DI5" s="36" t="e" vm="4">
        <f t="shared" ref="DI5:DI68" ca="1" si="22">(BG5-DJ5)/(DK5-DJ5)</f>
        <v>#VALUE!</v>
      </c>
      <c r="DJ5" s="18">
        <f t="shared" ref="DJ5:DJ12" ca="1" si="23">DH5+(DH5*DF5)</f>
        <v>7.828967889908256</v>
      </c>
      <c r="DK5" s="18" t="e" vm="4">
        <f t="shared" ref="DK5:DK12" ca="1" si="24">DH5+(DH5*DG5)</f>
        <v>#VALUE!</v>
      </c>
      <c r="DL5" s="9"/>
      <c r="DM5" s="9"/>
      <c r="DN5" s="9"/>
      <c r="DO5" s="9"/>
      <c r="DP5" s="78">
        <v>9.4641029532515632E-4</v>
      </c>
      <c r="DQ5" s="78">
        <v>9.4641029532515632E-4</v>
      </c>
      <c r="DR5" s="78">
        <v>9.4641029532515632E-4</v>
      </c>
      <c r="DS5" s="78" t="e" vm="4">
        <f t="shared" ref="DS5:DS68" ca="1" si="25">DG5-DF5</f>
        <v>#VALUE!</v>
      </c>
      <c r="DT5" s="47"/>
      <c r="DU5" s="43">
        <f t="shared" ref="DU5:DU68" si="26">_xlfn.STDEV.P(BC5:BF5)</f>
        <v>0</v>
      </c>
      <c r="DV5" s="83">
        <f t="shared" ref="DV5:DV68" ca="1" si="27">BI5-$DP$2</f>
        <v>0.99409999999999998</v>
      </c>
      <c r="DW5" s="83">
        <f t="shared" ref="DW5:DW68" ca="1" si="28">BI5-BJ5*100</f>
        <v>-5.4926000000000004</v>
      </c>
      <c r="DX5" s="83">
        <f t="shared" ref="DX5:DX68" ca="1" si="29">DV5-DW5</f>
        <v>6.4867000000000008</v>
      </c>
      <c r="DY5" s="67"/>
      <c r="DZ5" s="67"/>
      <c r="EA5" s="85"/>
      <c r="EB5" s="44">
        <v>400</v>
      </c>
      <c r="EC5" s="44" cm="1">
        <f t="array" aca="1" ref="EC5" ca="1">_FV(EE5,"Volume")</f>
        <v>500</v>
      </c>
      <c r="EE5" s="2" t="e" vm="5">
        <v>#VALUE!</v>
      </c>
      <c r="EG5" s="10" cm="1">
        <f t="array" aca="1" ref="EG5" ca="1">_FV(EE5,"Ações em circulação",TRUE)</f>
        <v>4453440</v>
      </c>
      <c r="EH5" s="21">
        <f>VLOOKUP(BH5,Fundamentus!A:U,5,FALSE)</f>
        <v>1.633</v>
      </c>
      <c r="EI5" s="2">
        <f t="shared" ref="EI5:EI68" ca="1" si="30">(BG5*EG5)/EH5</f>
        <v>21953577.464788731</v>
      </c>
      <c r="EJ5" s="20">
        <v>3908077.6827924065</v>
      </c>
      <c r="EK5" s="20">
        <f t="shared" ref="EK5:EK68" ca="1" si="31">EI5*EV5</f>
        <v>3813336.4056338025</v>
      </c>
      <c r="EM5" s="56" t="str">
        <f>IF(VLOOKUP(BH5,Fundamentus!A:U,3,FALSE)&lt;15,"Bom",IF(VLOOKUP(BH5,Fundamentus!A:U,3,FALSE)&gt;15,"Ruim","n/a"))</f>
        <v>Bom</v>
      </c>
      <c r="EN5" s="57" t="str">
        <f>IF(VLOOKUP(BH5,Fundamentus!A:U,4,FALSE)&lt;1,"Baixo",IF(VLOOKUP(BH5,Fundamentus!A:U,4,FALSE)&lt;1.5,"Moderado",IF(VLOOKUP(BH5,Fundamentus!A:U,4,FALSE)&gt;1.5,"Alto","n/a")))</f>
        <v>Alto</v>
      </c>
      <c r="EO5" s="38" t="str">
        <f>IF(VLOOKUP(BH5,Fundamentus!A:U,8,FALSE)&lt;0,"Risco elevado",IF(VLOOKUP(BH5,Fundamentus!A:U,8,FALSE)&lt;1,"Saudável",IF(VLOOKUP(BH5,Fundamentus!A:U,8,FALSE)&lt;3,"Estável",IF(VLOOKUP(BH5,Fundamentus!A:U,8,FALSE)&gt;3,"Alerta","n/a"))))</f>
        <v>Alerta</v>
      </c>
      <c r="EP5" s="57" t="str">
        <f t="shared" ref="EP5:EP68" si="32">IF(EH5&gt;1,"Bom","Ruim")</f>
        <v>Bom</v>
      </c>
      <c r="EQ5" s="38" t="str">
        <f>IF(VLOOKUP(BH5,Fundamentus!A:U,12,FALSE)&lt;2,"Subvalorizada",IF(VLOOKUP(BH5,Fundamentus!A:U,12,FALSE)&lt;6,"Muita barata",IF(VLOOKUP(BH5,Fundamentus!A:U,12,FALSE)&lt;6,"Barata",IF(VLOOKUP(BH5,Fundamentus!A:U,12,FALSE)&lt;8,"Atrativa",IF(VLOOKUP(BH5,Fundamentus!A:U,12,FALSE)&gt;8,"Supervalorizada","n/a")))))</f>
        <v>Atrativa</v>
      </c>
      <c r="ES5" s="38" t="str">
        <f>IF(VLOOKUP(BH5,Fundamentus!A:U,17,FALSE)&lt;0.1,"Fraco retorno",IF(VLOOKUP(BH5,Fundamentus!A:U,17,FALSE)&gt;0.1,"Bom retorno","n/a"))</f>
        <v>Bom retorno</v>
      </c>
      <c r="ET5" s="38" t="str">
        <f>IF(VLOOKUP(BH5,Fundamentus!A:U,16,FALSE)&lt;0.1,"Ineficiente",IF(VLOOKUP(BH5,Fundamentus!A:U,16,FALSE)&gt;0.1,"Eficiente","n/a"))</f>
        <v>Eficiente</v>
      </c>
      <c r="EU5" s="58" t="str">
        <f>IF(VLOOKUP(BH5,Fundamentus!A:U,16,FALSE)&lt;0.1,"Oper.Ineficiente",IF(VLOOKUP(BH5,Fundamentus!A:U,16,FALSE)&gt;0.1,"Oper.Eficiente","n/a"))</f>
        <v>Oper.Eficiente</v>
      </c>
      <c r="EV5" s="59">
        <f>VLOOKUP(BH5,Fundamentus!A:U,14,FALSE)</f>
        <v>0.17369999999999999</v>
      </c>
      <c r="EW5" s="38" t="str">
        <f>IF(VLOOKUP(BH5,Fundamentus!A:U,21,FALSE)&lt;0,"Negativo",IF(VLOOKUP(BH5,Fundamentus!A:U,21,FALSE)&lt;0.05,"Fraco",IF(VLOOKUP(BH5,Fundamentus!A:U,21,FALSE)&lt;0.1,"Bom",IF(VLOOKUP(BH5,Fundamentus!A:U,21,FALSE)&gt;0.1,"Muito bom","n/a"))))</f>
        <v>Muito bom</v>
      </c>
      <c r="EY5" s="39" t="str">
        <f>IF(VLOOKUP(BH5,Fundamentus!A:U,15,FALSE)&gt;1,"Bom",IF(VLOOKUP(BH5,Fundamentus!A:U,15,FALSE)&lt;1,"Ruim","n/a"))</f>
        <v>Bom</v>
      </c>
      <c r="EZ5" s="38" t="str">
        <f>IF(VLOOKUP(BH5,Fundamentus!A:U,20,FALSE)&lt;0.5,"Baixa",IF(VLOOKUP(BH5,Fundamentus!A:U,20,FALSE)&lt;1,"Moderada",IF(VLOOKUP(BH5,Fundamentus!A:U,20,FALSE)&lt;2,"Alerta",IF(VLOOKUP(BH5,Fundamentus!A:U,20,FALSE)&gt;2,"Alta","n/a"))))</f>
        <v>Alerta</v>
      </c>
    </row>
    <row r="6" spans="1:156" s="2" customFormat="1" ht="11.25" hidden="1" x14ac:dyDescent="0.2">
      <c r="A6" s="4">
        <v>27.58</v>
      </c>
      <c r="B6" s="4">
        <v>25.55</v>
      </c>
      <c r="C6" s="4">
        <v>25.2</v>
      </c>
      <c r="D6" s="4">
        <v>25.73</v>
      </c>
      <c r="E6" s="4">
        <v>25.53</v>
      </c>
      <c r="F6" s="4">
        <v>25.2</v>
      </c>
      <c r="G6" s="4">
        <v>25.21</v>
      </c>
      <c r="H6" s="4">
        <v>26.85</v>
      </c>
      <c r="I6" s="4">
        <v>25.25</v>
      </c>
      <c r="J6" s="4">
        <v>25.59</v>
      </c>
      <c r="K6" s="4">
        <v>26.01</v>
      </c>
      <c r="L6" s="4">
        <v>25.6</v>
      </c>
      <c r="M6" s="4">
        <v>25.43</v>
      </c>
      <c r="N6" s="4">
        <v>25.01</v>
      </c>
      <c r="O6" s="4">
        <v>25.02</v>
      </c>
      <c r="P6" s="4">
        <v>25.85</v>
      </c>
      <c r="Q6" s="4">
        <v>25.85</v>
      </c>
      <c r="R6" s="4">
        <v>25.29</v>
      </c>
      <c r="S6" s="4">
        <v>24.81</v>
      </c>
      <c r="T6" s="4">
        <v>24.89</v>
      </c>
      <c r="U6" s="4">
        <v>24.86</v>
      </c>
      <c r="V6" s="4">
        <v>25.13</v>
      </c>
      <c r="W6" s="4">
        <v>25.02</v>
      </c>
      <c r="X6" s="4">
        <v>25.4</v>
      </c>
      <c r="Y6" s="4">
        <v>24.94</v>
      </c>
      <c r="Z6" s="4">
        <v>25.01</v>
      </c>
      <c r="AA6" s="4">
        <v>24.84</v>
      </c>
      <c r="AB6" s="4">
        <v>24.1</v>
      </c>
      <c r="AC6" s="4">
        <v>25.45</v>
      </c>
      <c r="AD6" s="4">
        <v>25.13</v>
      </c>
      <c r="AE6" s="4">
        <v>24.8</v>
      </c>
      <c r="AF6" s="4">
        <v>25.96</v>
      </c>
      <c r="AG6" s="4">
        <v>26.15</v>
      </c>
      <c r="AH6" s="4">
        <v>25.5</v>
      </c>
      <c r="AI6" s="4">
        <v>26.59</v>
      </c>
      <c r="AJ6" s="4">
        <v>25.4</v>
      </c>
      <c r="AK6" s="4">
        <v>27.97</v>
      </c>
      <c r="AL6" s="4">
        <v>28</v>
      </c>
      <c r="AM6" s="4">
        <v>26.13</v>
      </c>
      <c r="AN6" s="4">
        <v>26.17</v>
      </c>
      <c r="AO6" s="4">
        <v>25.74</v>
      </c>
      <c r="AP6" s="4">
        <v>25.94</v>
      </c>
      <c r="AQ6" s="4">
        <v>25.94</v>
      </c>
      <c r="AR6" s="4">
        <v>25.69</v>
      </c>
      <c r="AS6" s="4">
        <v>25.4</v>
      </c>
      <c r="AT6" s="4">
        <v>26.07</v>
      </c>
      <c r="AU6" s="4">
        <v>27.45</v>
      </c>
      <c r="AV6" s="4">
        <v>27</v>
      </c>
      <c r="AW6" s="4">
        <v>27.33</v>
      </c>
      <c r="AX6" s="4">
        <v>26.4</v>
      </c>
      <c r="AY6" s="12">
        <v>26.81</v>
      </c>
      <c r="AZ6" s="12">
        <v>26.65</v>
      </c>
      <c r="BA6" s="12">
        <v>27.82</v>
      </c>
      <c r="BB6" s="18">
        <v>26.4</v>
      </c>
      <c r="BC6" s="63">
        <v>26.68</v>
      </c>
      <c r="BD6" s="63">
        <v>26.99</v>
      </c>
      <c r="BE6" s="63">
        <v>27.58</v>
      </c>
      <c r="BF6" s="63">
        <v>27.49</v>
      </c>
      <c r="BG6" s="91" cm="1">
        <f t="array" aca="1" ref="BG6" ca="1">_FV(EE6,"Preço")</f>
        <v>29.05</v>
      </c>
      <c r="BH6" s="93" t="s">
        <v>4</v>
      </c>
      <c r="BI6" s="32" cm="1">
        <f t="array" aca="1" ref="BI6" ca="1">_FV(EE6,"Beta")</f>
        <v>0.52049999999999996</v>
      </c>
      <c r="BJ6" s="96" cm="1">
        <f t="array" aca="1" ref="BJ6" ca="1">_FV(EE6,"Variação (%)",TRUE)</f>
        <v>4.1479999999999998E-3</v>
      </c>
      <c r="BK6" s="49"/>
      <c r="BL6" s="49"/>
      <c r="BN6" s="32"/>
      <c r="BO6" s="20" cm="1">
        <f t="array" aca="1" ref="BO6" ca="1">_FV(EE6,"Baixo")</f>
        <v>28.93</v>
      </c>
      <c r="BP6" s="20" cm="1">
        <f t="array" aca="1" ref="BP6" ca="1">_FV(EE6,"Alto")</f>
        <v>29.55</v>
      </c>
      <c r="BQ6" s="32"/>
      <c r="BR6" s="74">
        <f ca="1">SQRT(22.5*(BG6/VLOOKUP(BH6,Fundamentus!A:U,3,FALSE))*(BG6/VLOOKUP(BH6,Fundamentus!A:U,4,FALSE)))</f>
        <v>76.062064225601972</v>
      </c>
      <c r="BT6" s="73">
        <f t="shared" ca="1" si="0"/>
        <v>5.6747908330302015E-2</v>
      </c>
      <c r="BU6" s="36">
        <f t="shared" si="1"/>
        <v>0</v>
      </c>
      <c r="BV6" s="8"/>
      <c r="BW6" s="72">
        <f t="shared" si="2"/>
        <v>24.1</v>
      </c>
      <c r="BX6" s="72">
        <f t="shared" si="3"/>
        <v>25.920344827586216</v>
      </c>
      <c r="BY6" s="72">
        <f t="shared" si="4"/>
        <v>28</v>
      </c>
      <c r="BZ6" s="17"/>
      <c r="CA6" s="17"/>
      <c r="CB6" s="43">
        <f t="shared" si="5"/>
        <v>27.185674985447147</v>
      </c>
      <c r="CC6" s="18">
        <f t="shared" si="6"/>
        <v>27.921949390815143</v>
      </c>
      <c r="CD6" s="43">
        <f t="shared" si="7"/>
        <v>28.65822379618314</v>
      </c>
      <c r="CE6" s="98">
        <f t="shared" ca="1" si="8"/>
        <v>1.532106237783788</v>
      </c>
      <c r="CF6" s="17"/>
      <c r="CG6" s="20">
        <f t="shared" si="9"/>
        <v>21.160000000000004</v>
      </c>
      <c r="CH6" s="20">
        <f t="shared" si="10"/>
        <v>22.630000000000003</v>
      </c>
      <c r="CI6" s="20">
        <f t="shared" si="11"/>
        <v>25.060000000000002</v>
      </c>
      <c r="CJ6" s="49">
        <f t="shared" si="12"/>
        <v>26.53</v>
      </c>
      <c r="CK6" s="20">
        <f t="shared" si="13"/>
        <v>28.96</v>
      </c>
      <c r="CL6" s="20">
        <f t="shared" si="14"/>
        <v>30.43</v>
      </c>
      <c r="CM6" s="20">
        <f t="shared" si="15"/>
        <v>32.86</v>
      </c>
      <c r="CN6" s="2" cm="1">
        <f t="array" aca="1" ref="CN6" ca="1">MAX(_xlfn._xlws.FILTER(CG6:CM6,CG6:CM6&lt;BG6))</f>
        <v>28.96</v>
      </c>
      <c r="CO6" s="2" cm="1">
        <f t="array" aca="1" ref="CO6" ca="1">MIN(_xlfn._xlws.FILTER($CG6:$CM6,$CG6:$CM6&gt;BG6))</f>
        <v>30.43</v>
      </c>
      <c r="CP6" s="19">
        <f t="shared" ref="CP6:CP12" ca="1" si="33">(CO6/CN6)-1</f>
        <v>5.075966850828717E-2</v>
      </c>
      <c r="CQ6" s="23">
        <f t="shared" ref="CQ6:CQ12" ca="1" si="34">-$CP6/2</f>
        <v>-2.5379834254143585E-2</v>
      </c>
      <c r="CR6" s="23">
        <f t="shared" ref="CR6:CR12" ca="1" si="35">-$CP6/3</f>
        <v>-1.6919889502762391E-2</v>
      </c>
      <c r="CS6" s="23">
        <f t="shared" ref="CS6:CS12" ca="1" si="36">-$CP6/5</f>
        <v>-1.0151933701657434E-2</v>
      </c>
      <c r="CT6" s="23">
        <f t="shared" ref="CT6:CT12" ca="1" si="37">-$CP6/9</f>
        <v>-5.6399631675874634E-3</v>
      </c>
      <c r="CU6" s="23">
        <f t="shared" ca="1" si="16"/>
        <v>-2.9858628534286569E-3</v>
      </c>
      <c r="CV6" s="23">
        <f t="shared" ca="1" si="17"/>
        <v>-1.538171772978399E-3</v>
      </c>
      <c r="CW6" s="23">
        <f t="shared" ca="1" si="18"/>
        <v>-7.8091797705057185E-4</v>
      </c>
      <c r="CX6" s="24">
        <f t="shared" ca="1" si="19"/>
        <v>7.8091797705057185E-4</v>
      </c>
      <c r="CY6" s="24">
        <f t="shared" ca="1" si="20"/>
        <v>1.538171772978399E-3</v>
      </c>
      <c r="CZ6" s="24">
        <f t="shared" ca="1" si="21"/>
        <v>2.9858628534286569E-3</v>
      </c>
      <c r="DA6" s="24">
        <f t="shared" ref="DA6:DA12" ca="1" si="38">-$CP6/9*-1</f>
        <v>5.6399631675874634E-3</v>
      </c>
      <c r="DB6" s="24">
        <f t="shared" ref="DB6:DB12" ca="1" si="39">-$CP6/5*-1</f>
        <v>1.0151933701657434E-2</v>
      </c>
      <c r="DC6" s="24">
        <f t="shared" ref="DC6:DC12" ca="1" si="40">-$CP6/3*-1</f>
        <v>1.6919889502762391E-2</v>
      </c>
      <c r="DD6" s="24">
        <f t="shared" ref="DD6:DD12" ca="1" si="41">-$CP6/2*-1</f>
        <v>2.5379834254143585E-2</v>
      </c>
      <c r="DF6" s="19" cm="1">
        <f t="array" aca="1" ref="DF6" ca="1">MAX(_xlfn._xlws.FILTER(CQ6:DD6,CQ6:DD6&lt;BJ6))</f>
        <v>2.9858628534286569E-3</v>
      </c>
      <c r="DG6" s="19" cm="1">
        <f t="array" aca="1" ref="DG6" ca="1">MIN(_xlfn._xlws.FILTER(CQ6:DD6,CQ6:DD6&gt;BJ6))</f>
        <v>5.6399631675874634E-3</v>
      </c>
      <c r="DH6" s="2" cm="1">
        <f t="array" aca="1" ref="DH6" ca="1">_FV(EE6,"Fechamento anterior",TRUE)</f>
        <v>28.93</v>
      </c>
      <c r="DI6" s="36">
        <f t="shared" ca="1" si="22"/>
        <v>0.43784345746597331</v>
      </c>
      <c r="DJ6" s="18">
        <f t="shared" ca="1" si="23"/>
        <v>29.01638101234969</v>
      </c>
      <c r="DK6" s="18">
        <f t="shared" ca="1" si="24"/>
        <v>29.093164134438304</v>
      </c>
      <c r="DL6" s="9"/>
      <c r="DM6" s="9"/>
      <c r="DN6" s="9"/>
      <c r="DO6" s="9"/>
      <c r="DP6" s="79">
        <v>2.8498609823911008E-3</v>
      </c>
      <c r="DQ6" s="79">
        <v>1.2349397590361438E-2</v>
      </c>
      <c r="DR6" s="79">
        <v>2.8498609823911008E-3</v>
      </c>
      <c r="DS6" s="79">
        <f t="shared" ca="1" si="25"/>
        <v>2.6541003141588066E-3</v>
      </c>
      <c r="DT6" s="47"/>
      <c r="DU6" s="43">
        <f t="shared" si="26"/>
        <v>0.36813720268399885</v>
      </c>
      <c r="DV6" s="83">
        <f t="shared" ca="1" si="27"/>
        <v>0.94659999999999989</v>
      </c>
      <c r="DW6" s="83">
        <f t="shared" ca="1" si="28"/>
        <v>0.10569999999999996</v>
      </c>
      <c r="DX6" s="83">
        <f t="shared" ca="1" si="29"/>
        <v>0.84089999999999998</v>
      </c>
      <c r="DY6" s="67"/>
      <c r="DZ6" s="67"/>
      <c r="EA6" s="85"/>
      <c r="EB6" s="44">
        <v>12700</v>
      </c>
      <c r="EC6" s="44" cm="1">
        <f t="array" aca="1" ref="EC6" ca="1">_FV(EE6,"Volume")</f>
        <v>10000</v>
      </c>
      <c r="EE6" s="2" t="e" vm="6">
        <v>#VALUE!</v>
      </c>
      <c r="EG6" s="10" cm="1">
        <f t="array" aca="1" ref="EG6" ca="1">_FV(EE6,"Ações em circulação",TRUE)</f>
        <v>20585620</v>
      </c>
      <c r="EH6" s="21">
        <f>VLOOKUP(BH6,Fundamentus!A:U,5,FALSE)</f>
        <v>0.76900000000000002</v>
      </c>
      <c r="EI6" s="2">
        <f t="shared" ca="1" si="30"/>
        <v>777649234.07022107</v>
      </c>
      <c r="EJ6" s="20">
        <v>103539591.96054615</v>
      </c>
      <c r="EK6" s="20">
        <f t="shared" ca="1" si="31"/>
        <v>109415247.2336801</v>
      </c>
      <c r="EM6" s="40" t="str">
        <f>IF(VLOOKUP(BH6,Fundamentus!A:U,3,FALSE)&lt;15,"Bom",IF(VLOOKUP(BH6,Fundamentus!A:U,3,FALSE)&gt;15,"Ruim","n/a"))</f>
        <v>Bom</v>
      </c>
      <c r="EN6" s="36" t="str">
        <f>IF(VLOOKUP(BH6,Fundamentus!A:U,4,FALSE)&lt;1,"Baixo",IF(VLOOKUP(BH6,Fundamentus!A:U,4,FALSE)&lt;1.5,"Moderado",IF(VLOOKUP(BH6,Fundamentus!A:U,4,FALSE)&gt;1.5,"Alto","n/a")))</f>
        <v>Baixo</v>
      </c>
      <c r="EO6" s="20" t="str">
        <f>IF(VLOOKUP(BH6,Fundamentus!A:U,8,FALSE)&lt;0,"Risco elevado",IF(VLOOKUP(BH6,Fundamentus!A:U,8,FALSE)&lt;1,"Saudável",IF(VLOOKUP(BH6,Fundamentus!A:U,8,FALSE)&lt;3,"Estável",IF(VLOOKUP(BH6,Fundamentus!A:U,8,FALSE)&gt;3,"Alerta","n/a"))))</f>
        <v>Estável</v>
      </c>
      <c r="EP6" s="36" t="str">
        <f t="shared" si="32"/>
        <v>Ruim</v>
      </c>
      <c r="EQ6" s="20" t="str">
        <f>IF(VLOOKUP(BH6,Fundamentus!A:U,12,FALSE)&lt;2,"Subvalorizada",IF(VLOOKUP(BH6,Fundamentus!A:U,12,FALSE)&lt;6,"Muita barata",IF(VLOOKUP(BH6,Fundamentus!A:U,12,FALSE)&lt;6,"Barata",IF(VLOOKUP(BH6,Fundamentus!A:U,12,FALSE)&lt;8,"Atrativa",IF(VLOOKUP(BH6,Fundamentus!A:U,12,FALSE)&gt;8,"Supervalorizada","n/a")))))</f>
        <v>Muita barata</v>
      </c>
      <c r="ES6" s="20" t="str">
        <f>IF(VLOOKUP(BH6,Fundamentus!A:U,17,FALSE)&lt;0.1,"Fraco retorno",IF(VLOOKUP(BH6,Fundamentus!A:U,17,FALSE)&gt;0.1,"Bom retorno","n/a"))</f>
        <v>Bom retorno</v>
      </c>
      <c r="ET6" s="20" t="str">
        <f>IF(VLOOKUP(BH6,Fundamentus!A:U,16,FALSE)&lt;0.1,"Ineficiente",IF(VLOOKUP(BH6,Fundamentus!A:U,16,FALSE)&gt;0.1,"Eficiente","n/a"))</f>
        <v>Ineficiente</v>
      </c>
      <c r="EU6" s="41" t="str">
        <f>IF(VLOOKUP(BH6,Fundamentus!A:U,16,FALSE)&lt;0.1,"Oper. Ineficiente",IF(VLOOKUP(BH6,Fundamentus!A:U,16,FALSE)&gt;0.1,"Oper.Eficiente","n/a"))</f>
        <v>Oper. Ineficiente</v>
      </c>
      <c r="EV6" s="42">
        <f>VLOOKUP(BH6,Fundamentus!A:U,14,FALSE)</f>
        <v>0.14069999999999999</v>
      </c>
      <c r="EW6" s="20" t="str">
        <f>IF(VLOOKUP(BH6,Fundamentus!A:U,21,FALSE)&lt;0,"Negativo",IF(VLOOKUP(BH6,Fundamentus!A:U,21,FALSE)&lt;0.05,"Fraco",IF(VLOOKUP(BH6,Fundamentus!A:U,21,FALSE)&lt;0.1,"Bom",IF(VLOOKUP(BH6,Fundamentus!A:U,21,FALSE)&gt;0.1,"Muito bom","n/a"))))</f>
        <v>Muito bom</v>
      </c>
      <c r="EY6" s="37" t="str">
        <f>IF(VLOOKUP(BH6,Fundamentus!A:U,15,FALSE)&gt;1,"Bom",IF(VLOOKUP(BH6,Fundamentus!A:U,15,FALSE)&lt;1,"Ruim","n/a"))</f>
        <v>Bom</v>
      </c>
      <c r="EZ6" s="20" t="str">
        <f>IF(VLOOKUP(BH6,Fundamentus!A:U,20,FALSE)&lt;0.5,"Baixa",IF(VLOOKUP(BH6,Fundamentus!A:U,20,FALSE)&lt;1,"Moderada",IF(VLOOKUP(BH6,Fundamentus!A:U,20,FALSE)&lt;2,"Alerta",IF(VLOOKUP(BH6,Fundamentus!A:U,20,FALSE)&gt;2,"Alta","n/a"))))</f>
        <v>Baixa</v>
      </c>
    </row>
    <row r="7" spans="1:156" s="2" customFormat="1" ht="11.25" hidden="1" x14ac:dyDescent="0.2">
      <c r="A7" s="4">
        <v>26.09</v>
      </c>
      <c r="B7" s="4">
        <v>25.3</v>
      </c>
      <c r="C7" s="4">
        <v>26.19</v>
      </c>
      <c r="D7" s="4">
        <v>27.09</v>
      </c>
      <c r="E7" s="4">
        <v>25.4</v>
      </c>
      <c r="F7" s="4">
        <v>25.01</v>
      </c>
      <c r="G7" s="4">
        <v>25.25</v>
      </c>
      <c r="H7" s="4">
        <v>26.47</v>
      </c>
      <c r="I7" s="4">
        <v>26.1</v>
      </c>
      <c r="J7" s="4">
        <v>26.98</v>
      </c>
      <c r="K7" s="4">
        <v>25.95</v>
      </c>
      <c r="L7" s="4">
        <v>24.55</v>
      </c>
      <c r="M7" s="4">
        <v>24.68</v>
      </c>
      <c r="N7" s="4">
        <v>24.56</v>
      </c>
      <c r="O7" s="4">
        <v>24.43</v>
      </c>
      <c r="P7" s="4">
        <v>24.63</v>
      </c>
      <c r="Q7" s="4">
        <v>25.17</v>
      </c>
      <c r="R7" s="4">
        <v>24.71</v>
      </c>
      <c r="S7" s="4">
        <v>24.85</v>
      </c>
      <c r="T7" s="4">
        <v>24.7</v>
      </c>
      <c r="U7" s="4">
        <v>24.44</v>
      </c>
      <c r="V7" s="4">
        <v>24.22</v>
      </c>
      <c r="W7" s="4">
        <v>24.13</v>
      </c>
      <c r="X7" s="4">
        <v>24.71</v>
      </c>
      <c r="Y7" s="4">
        <v>24.34</v>
      </c>
      <c r="Z7" s="4">
        <v>24.43</v>
      </c>
      <c r="AA7" s="4">
        <v>24.1</v>
      </c>
      <c r="AB7" s="4">
        <v>24.37</v>
      </c>
      <c r="AC7" s="4">
        <v>24.2</v>
      </c>
      <c r="AD7" s="4">
        <v>24.37</v>
      </c>
      <c r="AE7" s="4">
        <v>24.16</v>
      </c>
      <c r="AF7" s="4">
        <v>24.53</v>
      </c>
      <c r="AG7" s="4">
        <v>24.19</v>
      </c>
      <c r="AH7" s="4">
        <v>23.13</v>
      </c>
      <c r="AI7" s="4">
        <v>23.05</v>
      </c>
      <c r="AJ7" s="4">
        <v>22.55</v>
      </c>
      <c r="AK7" s="4">
        <v>22.61</v>
      </c>
      <c r="AL7" s="4">
        <v>22.95</v>
      </c>
      <c r="AM7" s="4">
        <v>22.94</v>
      </c>
      <c r="AN7" s="4">
        <v>23.8</v>
      </c>
      <c r="AO7" s="4">
        <v>23.9</v>
      </c>
      <c r="AP7" s="4">
        <v>23.78</v>
      </c>
      <c r="AQ7" s="4">
        <v>23.66</v>
      </c>
      <c r="AR7" s="4">
        <v>23.2</v>
      </c>
      <c r="AS7" s="4">
        <v>23.55</v>
      </c>
      <c r="AT7" s="4">
        <v>22.85</v>
      </c>
      <c r="AU7" s="4">
        <v>23.13</v>
      </c>
      <c r="AV7" s="4">
        <v>22.44</v>
      </c>
      <c r="AW7" s="4">
        <v>22.1</v>
      </c>
      <c r="AX7" s="4">
        <v>22.17</v>
      </c>
      <c r="AY7" s="12">
        <v>22.39</v>
      </c>
      <c r="AZ7" s="12">
        <v>23.28</v>
      </c>
      <c r="BA7" s="12">
        <v>23.99</v>
      </c>
      <c r="BB7" s="18">
        <v>22.87</v>
      </c>
      <c r="BC7" s="63">
        <v>23.42</v>
      </c>
      <c r="BD7" s="63">
        <v>23.5</v>
      </c>
      <c r="BE7" s="63">
        <v>23.4</v>
      </c>
      <c r="BF7" s="63">
        <v>23.14</v>
      </c>
      <c r="BG7" s="91" cm="1">
        <f t="array" aca="1" ref="BG7" ca="1">_FV(EE7,"Preço")</f>
        <v>23.12</v>
      </c>
      <c r="BH7" s="93" t="s">
        <v>5</v>
      </c>
      <c r="BI7" s="32" cm="1">
        <f t="array" aca="1" ref="BI7" ca="1">_FV(EE7,"Beta")</f>
        <v>0.71089999999999998</v>
      </c>
      <c r="BJ7" s="96" cm="1">
        <f t="array" aca="1" ref="BJ7" ca="1">_FV(EE7,"Variação (%)",TRUE)</f>
        <v>8.6580000000000001E-4</v>
      </c>
      <c r="BK7" s="49"/>
      <c r="BL7" s="49"/>
      <c r="BN7" s="32"/>
      <c r="BO7" s="20" cm="1">
        <f t="array" aca="1" ref="BO7" ca="1">_FV(EE7,"Baixo")</f>
        <v>22.79</v>
      </c>
      <c r="BP7" s="20" cm="1">
        <f t="array" aca="1" ref="BP7" ca="1">_FV(EE7,"Alto")</f>
        <v>23.29</v>
      </c>
      <c r="BQ7" s="32"/>
      <c r="BR7" s="74">
        <f ca="1">SQRT(22.5*(BG7/VLOOKUP(BH7,Fundamentus!A:U,3,FALSE))*(BG7/VLOOKUP(BH7,Fundamentus!A:U,4,FALSE)))</f>
        <v>61.210590983898619</v>
      </c>
      <c r="BT7" s="73">
        <f t="shared" ca="1" si="0"/>
        <v>-8.6430423509073354E-4</v>
      </c>
      <c r="BU7" s="36">
        <f t="shared" si="1"/>
        <v>-0.10310463779225762</v>
      </c>
      <c r="BV7" s="8"/>
      <c r="BW7" s="72">
        <f t="shared" si="2"/>
        <v>22.1</v>
      </c>
      <c r="BX7" s="72">
        <f t="shared" si="3"/>
        <v>24.174137931034494</v>
      </c>
      <c r="BY7" s="72">
        <f t="shared" si="4"/>
        <v>27.09</v>
      </c>
      <c r="BZ7" s="17"/>
      <c r="CA7" s="17"/>
      <c r="CB7" s="43">
        <f t="shared" si="5"/>
        <v>22.872047877684814</v>
      </c>
      <c r="CC7" s="18">
        <f t="shared" si="6"/>
        <v>23.142417994376729</v>
      </c>
      <c r="CD7" s="43">
        <f t="shared" si="7"/>
        <v>23.412788111068643</v>
      </c>
      <c r="CE7" s="98">
        <f t="shared" ca="1" si="8"/>
        <v>-8.2915947409501353E-2</v>
      </c>
      <c r="CF7" s="17"/>
      <c r="CG7" s="20">
        <f t="shared" si="9"/>
        <v>16.14</v>
      </c>
      <c r="CH7" s="20">
        <f t="shared" si="10"/>
        <v>19.12</v>
      </c>
      <c r="CI7" s="20">
        <f t="shared" si="11"/>
        <v>21.13</v>
      </c>
      <c r="CJ7" s="49">
        <f t="shared" si="12"/>
        <v>24.11</v>
      </c>
      <c r="CK7" s="20">
        <f t="shared" si="13"/>
        <v>26.119999999999997</v>
      </c>
      <c r="CL7" s="20">
        <f t="shared" si="14"/>
        <v>29.099999999999998</v>
      </c>
      <c r="CM7" s="20">
        <f t="shared" si="15"/>
        <v>31.109999999999996</v>
      </c>
      <c r="CN7" s="2" cm="1">
        <f t="array" aca="1" ref="CN7" ca="1">MAX(_xlfn._xlws.FILTER(CG7:CM7,CG7:CM7&lt;BG7))</f>
        <v>21.13</v>
      </c>
      <c r="CO7" s="2" cm="1">
        <f t="array" aca="1" ref="CO7" ca="1">MIN(_xlfn._xlws.FILTER($CG7:$CM7,$CG7:$CM7&gt;BG7))</f>
        <v>24.11</v>
      </c>
      <c r="CP7" s="19">
        <f t="shared" ca="1" si="33"/>
        <v>0.1410317084713677</v>
      </c>
      <c r="CQ7" s="23">
        <f t="shared" ca="1" si="34"/>
        <v>-7.051585423568385E-2</v>
      </c>
      <c r="CR7" s="23">
        <f t="shared" ca="1" si="35"/>
        <v>-4.70105694904559E-2</v>
      </c>
      <c r="CS7" s="23">
        <f t="shared" ca="1" si="36"/>
        <v>-2.8206341694273541E-2</v>
      </c>
      <c r="CT7" s="23">
        <f t="shared" ca="1" si="37"/>
        <v>-1.5670189830151966E-2</v>
      </c>
      <c r="CU7" s="23">
        <f ca="1">-$CP7/17</f>
        <v>-8.2959828512569229E-3</v>
      </c>
      <c r="CV7" s="23">
        <f ca="1">-$CP7/33</f>
        <v>-4.2736881354959906E-3</v>
      </c>
      <c r="CW7" s="23">
        <f ca="1">-$CP7/65</f>
        <v>-2.1697185918671952E-3</v>
      </c>
      <c r="CX7" s="24">
        <f ca="1">-$CP7/65*-1</f>
        <v>2.1697185918671952E-3</v>
      </c>
      <c r="CY7" s="24">
        <f ca="1">-$CP7/33*-1</f>
        <v>4.2736881354959906E-3</v>
      </c>
      <c r="CZ7" s="24">
        <f ca="1">-$CP7/17*-1</f>
        <v>8.2959828512569229E-3</v>
      </c>
      <c r="DA7" s="24">
        <f t="shared" ca="1" si="38"/>
        <v>1.5670189830151966E-2</v>
      </c>
      <c r="DB7" s="24">
        <f t="shared" ca="1" si="39"/>
        <v>2.8206341694273541E-2</v>
      </c>
      <c r="DC7" s="24">
        <f t="shared" ca="1" si="40"/>
        <v>4.70105694904559E-2</v>
      </c>
      <c r="DD7" s="24">
        <f t="shared" ca="1" si="41"/>
        <v>7.051585423568385E-2</v>
      </c>
      <c r="DF7" s="19" cm="1">
        <f t="array" aca="1" ref="DF7" ca="1">MAX(_xlfn._xlws.FILTER(CQ7:DD7,CQ7:DD7&lt;BJ7))</f>
        <v>-2.1697185918671952E-3</v>
      </c>
      <c r="DG7" s="19" cm="1">
        <f t="array" aca="1" ref="DG7" ca="1">MIN(_xlfn._xlws.FILTER(CQ7:DD7,CQ7:DD7&gt;BJ7))</f>
        <v>2.1697185918671952E-3</v>
      </c>
      <c r="DH7" s="2" cm="1">
        <f t="array" aca="1" ref="DH7" ca="1">_FV(EE7,"Fechamento anterior",TRUE)</f>
        <v>23.1</v>
      </c>
      <c r="DI7" s="36">
        <f t="shared" ca="1" si="22"/>
        <v>0.69951916092855071</v>
      </c>
      <c r="DJ7" s="18">
        <f t="shared" ca="1" si="23"/>
        <v>23.049879500527869</v>
      </c>
      <c r="DK7" s="18">
        <f t="shared" ca="1" si="24"/>
        <v>23.150120499472134</v>
      </c>
      <c r="DL7" s="9"/>
      <c r="DM7" s="9"/>
      <c r="DN7" s="9"/>
      <c r="DO7" s="9"/>
      <c r="DP7" s="79">
        <v>7.6842898606500794E-3</v>
      </c>
      <c r="DQ7" s="79">
        <v>4.5201705062647519E-3</v>
      </c>
      <c r="DR7" s="79">
        <v>1.2896710255636496E-3</v>
      </c>
      <c r="DS7" s="79">
        <f t="shared" ca="1" si="25"/>
        <v>4.3394371837343904E-3</v>
      </c>
      <c r="DT7" s="47"/>
      <c r="DU7" s="43">
        <f t="shared" si="26"/>
        <v>0.13518505834595759</v>
      </c>
      <c r="DV7" s="83">
        <f t="shared" ca="1" si="27"/>
        <v>1.137</v>
      </c>
      <c r="DW7" s="83">
        <f t="shared" ca="1" si="28"/>
        <v>0.62431999999999999</v>
      </c>
      <c r="DX7" s="83">
        <f t="shared" ca="1" si="29"/>
        <v>0.51268000000000002</v>
      </c>
      <c r="DY7" s="67"/>
      <c r="DZ7" s="67"/>
      <c r="EA7" s="85"/>
      <c r="EB7" s="44">
        <v>1278700</v>
      </c>
      <c r="EC7" s="44" cm="1">
        <f t="array" aca="1" ref="EC7" ca="1">_FV(EE7,"Volume")</f>
        <v>1517500</v>
      </c>
      <c r="EE7" s="2" t="e" vm="7">
        <v>#VALUE!</v>
      </c>
      <c r="EG7" s="10" cm="1">
        <f t="array" aca="1" ref="EG7" ca="1">_FV(EE7,"Ações em circulação",TRUE)</f>
        <v>658883300</v>
      </c>
      <c r="EH7" s="21">
        <f>VLOOKUP(BH7,Fundamentus!A:U,5,FALSE)</f>
        <v>1.8180000000000001</v>
      </c>
      <c r="EI7" s="2">
        <f t="shared" ca="1" si="30"/>
        <v>8379197962.5962591</v>
      </c>
      <c r="EJ7" s="20">
        <v>3615397044.6524749</v>
      </c>
      <c r="EK7" s="20">
        <f t="shared" ca="1" si="31"/>
        <v>3612272241.6752472</v>
      </c>
      <c r="EM7" s="40" t="str">
        <f>IF(VLOOKUP(BH7,Fundamentus!A:U,3,FALSE)&lt;15,"Bom",IF(VLOOKUP(BH7,Fundamentus!A:U,3,FALSE)&gt;15,"Ruim","n/a"))</f>
        <v>Bom</v>
      </c>
      <c r="EN7" s="36" t="str">
        <f>IF(VLOOKUP(BH7,Fundamentus!A:U,4,FALSE)&lt;1,"Baixo",IF(VLOOKUP(BH7,Fundamentus!A:U,4,FALSE)&lt;1.5,"Moderado",IF(VLOOKUP(BH7,Fundamentus!A:U,4,FALSE)&gt;1.5,"Alto","n/a")))</f>
        <v>Baixo</v>
      </c>
      <c r="EO7" s="20" t="str">
        <f>IF(VLOOKUP(BH7,Fundamentus!A:U,8,FALSE)&lt;0,"Risco elevado",IF(VLOOKUP(BH7,Fundamentus!A:U,8,FALSE)&lt;1,"Saudável",IF(VLOOKUP(BH7,Fundamentus!A:U,8,FALSE)&lt;3,"Estável",IF(VLOOKUP(BH7,Fundamentus!A:U,8,FALSE)&gt;3,"Alerta","n/a"))))</f>
        <v>Estável</v>
      </c>
      <c r="EP7" s="36" t="str">
        <f t="shared" si="32"/>
        <v>Bom</v>
      </c>
      <c r="EQ7" s="20" t="str">
        <f>IF(VLOOKUP(BH7,Fundamentus!A:U,12,FALSE)&lt;2,"Subvalorizada",IF(VLOOKUP(BH7,Fundamentus!A:U,12,FALSE)&lt;6,"Muita barata",IF(VLOOKUP(BH7,Fundamentus!A:U,12,FALSE)&lt;6,"Barata",IF(VLOOKUP(BH7,Fundamentus!A:U,12,FALSE)&lt;8,"Atrativa",IF(VLOOKUP(BH7,Fundamentus!A:U,12,FALSE)&gt;8,"Supervalorizada","n/a")))))</f>
        <v>Muita barata</v>
      </c>
      <c r="ES7" s="20" t="str">
        <f>IF(VLOOKUP(BH7,Fundamentus!A:U,17,FALSE)&lt;0.1,"Fraco retorno",IF(VLOOKUP(BH7,Fundamentus!A:U,17,FALSE)&gt;0.1,"Bom retorno","n/a"))</f>
        <v>Bom retorno</v>
      </c>
      <c r="ET7" s="20" t="str">
        <f>IF(VLOOKUP(BH7,Fundamentus!A:U,16,FALSE)&lt;0.1,"Ineficiente",IF(VLOOKUP(BH7,Fundamentus!A:U,16,FALSE)&gt;0.1,"Eficiente","n/a"))</f>
        <v>Eficiente</v>
      </c>
      <c r="EU7" s="41" t="str">
        <f>IF(VLOOKUP(BH7,Fundamentus!A:U,16,FALSE)&lt;0.1,"Oper. Ineficiente",IF(VLOOKUP(BH7,Fundamentus!A:U,16,FALSE)&gt;0.1,"Oper.Eficiente","n/a"))</f>
        <v>Oper.Eficiente</v>
      </c>
      <c r="EV7" s="42">
        <f>VLOOKUP(BH7,Fundamentus!A:U,14,FALSE)</f>
        <v>0.43109999999999998</v>
      </c>
      <c r="EW7" s="20" t="str">
        <f>IF(VLOOKUP(BH7,Fundamentus!A:U,21,FALSE)&lt;0,"Negativo",IF(VLOOKUP(BH7,Fundamentus!A:U,21,FALSE)&lt;0.05,"Fraco",IF(VLOOKUP(BH7,Fundamentus!A:U,21,FALSE)&lt;0.1,"Bom",IF(VLOOKUP(BH7,Fundamentus!A:U,21,FALSE)&gt;0.1,"Muito bom","n/a"))))</f>
        <v>Muito bom</v>
      </c>
      <c r="EY7" s="37" t="str">
        <f>IF(VLOOKUP(BH7,Fundamentus!A:U,15,FALSE)&gt;1,"Bom",IF(VLOOKUP(BH7,Fundamentus!A:U,15,FALSE)&lt;1,"Ruim","n/a"))</f>
        <v>Bom</v>
      </c>
      <c r="EZ7" s="20" t="str">
        <f>IF(VLOOKUP(BH7,Fundamentus!A:U,20,FALSE)&lt;0.5,"Baixa",IF(VLOOKUP(BH7,Fundamentus!A:U,20,FALSE)&lt;1,"Moderada",IF(VLOOKUP(BH7,Fundamentus!A:U,20,FALSE)&lt;2,"Alerta",IF(VLOOKUP(BH7,Fundamentus!A:U,20,FALSE)&gt;2,"Alta","n/a"))))</f>
        <v>Moderada</v>
      </c>
    </row>
    <row r="8" spans="1:156" s="2" customFormat="1" ht="11.25" hidden="1" x14ac:dyDescent="0.2">
      <c r="A8" s="4">
        <v>9.1999999999999993</v>
      </c>
      <c r="B8" s="4">
        <v>8.98</v>
      </c>
      <c r="C8" s="4">
        <v>9.07</v>
      </c>
      <c r="D8" s="4">
        <v>9.0399999999999991</v>
      </c>
      <c r="E8" s="4">
        <v>9.01</v>
      </c>
      <c r="F8" s="4">
        <v>8.7899999999999991</v>
      </c>
      <c r="G8" s="4">
        <v>8.8000000000000007</v>
      </c>
      <c r="H8" s="4">
        <v>8.7200000000000006</v>
      </c>
      <c r="I8" s="4">
        <v>8.9700000000000006</v>
      </c>
      <c r="J8" s="4">
        <v>9.15</v>
      </c>
      <c r="K8" s="4">
        <v>9.07</v>
      </c>
      <c r="L8" s="4">
        <v>9.02</v>
      </c>
      <c r="M8" s="4">
        <v>8.93</v>
      </c>
      <c r="N8" s="4">
        <v>8.9499999999999993</v>
      </c>
      <c r="O8" s="4">
        <v>8.89</v>
      </c>
      <c r="P8" s="4">
        <v>9.0299999999999994</v>
      </c>
      <c r="Q8" s="4">
        <v>9.0399999999999991</v>
      </c>
      <c r="R8" s="4">
        <v>9.02</v>
      </c>
      <c r="S8" s="4">
        <v>9.0399999999999991</v>
      </c>
      <c r="T8" s="4">
        <v>8.99</v>
      </c>
      <c r="U8" s="4">
        <v>8.9</v>
      </c>
      <c r="V8" s="4">
        <v>8.9499999999999993</v>
      </c>
      <c r="W8" s="4">
        <v>8.98</v>
      </c>
      <c r="X8" s="4">
        <v>8.84</v>
      </c>
      <c r="Y8" s="4">
        <v>8.81</v>
      </c>
      <c r="Z8" s="4">
        <v>8.82</v>
      </c>
      <c r="AA8" s="4">
        <v>8.68</v>
      </c>
      <c r="AB8" s="4">
        <v>8.49</v>
      </c>
      <c r="AC8" s="4">
        <v>8.4499999999999993</v>
      </c>
      <c r="AD8" s="4">
        <v>8.32</v>
      </c>
      <c r="AE8" s="4">
        <v>8.57</v>
      </c>
      <c r="AF8" s="4">
        <v>8.24</v>
      </c>
      <c r="AG8" s="4">
        <v>8.1199999999999992</v>
      </c>
      <c r="AH8" s="4">
        <v>8.42</v>
      </c>
      <c r="AI8" s="4">
        <v>8.4499999999999993</v>
      </c>
      <c r="AJ8" s="4">
        <v>8.2100000000000009</v>
      </c>
      <c r="AK8" s="4">
        <v>8.3000000000000007</v>
      </c>
      <c r="AL8" s="4">
        <v>8.2899999999999991</v>
      </c>
      <c r="AM8" s="4">
        <v>8.2200000000000006</v>
      </c>
      <c r="AN8" s="4">
        <v>8.27</v>
      </c>
      <c r="AO8" s="4">
        <v>8.19</v>
      </c>
      <c r="AP8" s="4">
        <v>8.1999999999999993</v>
      </c>
      <c r="AQ8" s="4">
        <v>8.14</v>
      </c>
      <c r="AR8" s="4">
        <v>8.16</v>
      </c>
      <c r="AS8" s="4">
        <v>8.26</v>
      </c>
      <c r="AT8" s="4">
        <v>8.2200000000000006</v>
      </c>
      <c r="AU8" s="4">
        <v>8.1750000000000007</v>
      </c>
      <c r="AV8" s="4">
        <v>8.5500000000000007</v>
      </c>
      <c r="AW8" s="4">
        <v>8.4600000000000009</v>
      </c>
      <c r="AX8" s="4">
        <v>8.35</v>
      </c>
      <c r="AY8" s="12">
        <v>8.4600000000000009</v>
      </c>
      <c r="AZ8" s="12">
        <v>8.6199999999999992</v>
      </c>
      <c r="BA8" s="12">
        <v>8.83</v>
      </c>
      <c r="BB8" s="18">
        <v>8.73</v>
      </c>
      <c r="BC8" s="63">
        <v>8.52</v>
      </c>
      <c r="BD8" s="63">
        <v>8.77</v>
      </c>
      <c r="BE8" s="63">
        <v>8.64</v>
      </c>
      <c r="BF8" s="63">
        <v>8.56</v>
      </c>
      <c r="BG8" s="91" cm="1">
        <f t="array" aca="1" ref="BG8" ca="1">_FV(EE8,"Preço")</f>
        <v>8.58</v>
      </c>
      <c r="BH8" s="93" t="s">
        <v>6</v>
      </c>
      <c r="BI8" s="32" cm="1">
        <f t="array" aca="1" ref="BI8" ca="1">_FV(EE8,"Beta")</f>
        <v>0.42030000000000001</v>
      </c>
      <c r="BJ8" s="96" cm="1">
        <f t="array" aca="1" ref="BJ8" ca="1">_FV(EE8,"Variação (%)",TRUE)</f>
        <v>-3.4839999999999997E-3</v>
      </c>
      <c r="BK8" s="49"/>
      <c r="BL8" s="49"/>
      <c r="BN8" s="32"/>
      <c r="BO8" s="20" cm="1">
        <f t="array" aca="1" ref="BO8" ca="1">_FV(EE8,"Baixo")</f>
        <v>8.5299999999999994</v>
      </c>
      <c r="BP8" s="20" cm="1">
        <f t="array" aca="1" ref="BP8" ca="1">_FV(EE8,"Alto")</f>
        <v>8.61</v>
      </c>
      <c r="BQ8" s="32"/>
      <c r="BR8" s="74">
        <f ca="1">SQRT(22.5*(BG8/VLOOKUP(BH8,Fundamentus!A:U,3,FALSE))*(BG8/VLOOKUP(BH8,Fundamentus!A:U,4,FALSE)))</f>
        <v>13.942753682965119</v>
      </c>
      <c r="BT8" s="73">
        <f t="shared" ca="1" si="0"/>
        <v>2.3364485981307911E-3</v>
      </c>
      <c r="BU8" s="36">
        <f t="shared" si="1"/>
        <v>-6.0869565217391168E-2</v>
      </c>
      <c r="BV8" s="8"/>
      <c r="BW8" s="72">
        <f t="shared" si="2"/>
        <v>8.1199999999999992</v>
      </c>
      <c r="BX8" s="72">
        <f t="shared" si="3"/>
        <v>8.6530172413793096</v>
      </c>
      <c r="BY8" s="72">
        <f t="shared" si="4"/>
        <v>9.1999999999999993</v>
      </c>
      <c r="BZ8" s="17"/>
      <c r="CA8" s="17"/>
      <c r="CB8" s="43">
        <f t="shared" si="5"/>
        <v>8.4360072725880553</v>
      </c>
      <c r="CC8" s="18">
        <f t="shared" si="6"/>
        <v>8.6269915651358975</v>
      </c>
      <c r="CD8" s="43">
        <f t="shared" si="7"/>
        <v>8.8179758576837397</v>
      </c>
      <c r="CE8" s="98">
        <f t="shared" ca="1" si="8"/>
        <v>-0.24604937143784153</v>
      </c>
      <c r="CF8" s="17"/>
      <c r="CG8" s="20">
        <f t="shared" si="9"/>
        <v>6.9733333333333345</v>
      </c>
      <c r="CH8" s="20">
        <f t="shared" si="10"/>
        <v>7.5466666666666669</v>
      </c>
      <c r="CI8" s="20">
        <f t="shared" si="11"/>
        <v>8.0533333333333346</v>
      </c>
      <c r="CJ8" s="49">
        <f t="shared" si="12"/>
        <v>8.6266666666666669</v>
      </c>
      <c r="CK8" s="20">
        <f t="shared" si="13"/>
        <v>9.1333333333333346</v>
      </c>
      <c r="CL8" s="20">
        <f t="shared" si="14"/>
        <v>9.706666666666667</v>
      </c>
      <c r="CM8" s="20">
        <f t="shared" si="15"/>
        <v>10.213333333333335</v>
      </c>
      <c r="CN8" s="2" cm="1">
        <f t="array" aca="1" ref="CN8" ca="1">MAX(_xlfn._xlws.FILTER(CG8:CM8,CG8:CM8&lt;BG8))</f>
        <v>8.0533333333333346</v>
      </c>
      <c r="CO8" s="2" cm="1">
        <f t="array" aca="1" ref="CO8" ca="1">MIN(_xlfn._xlws.FILTER($CG8:$CM8,$CG8:$CM8&gt;BG8))</f>
        <v>8.6266666666666669</v>
      </c>
      <c r="CP8" s="19">
        <f t="shared" ca="1" si="33"/>
        <v>7.1192052980132425E-2</v>
      </c>
      <c r="CQ8" s="23">
        <f t="shared" ca="1" si="34"/>
        <v>-3.5596026490066213E-2</v>
      </c>
      <c r="CR8" s="23">
        <f t="shared" ca="1" si="35"/>
        <v>-2.373068432671081E-2</v>
      </c>
      <c r="CS8" s="23">
        <f t="shared" ca="1" si="36"/>
        <v>-1.4238410596026485E-2</v>
      </c>
      <c r="CT8" s="23">
        <f t="shared" ca="1" si="37"/>
        <v>-7.9102281089036032E-3</v>
      </c>
      <c r="CU8" s="23">
        <f t="shared" ref="CU8:CU12" ca="1" si="42">-$CP8/17</f>
        <v>-4.187767822360731E-3</v>
      </c>
      <c r="CV8" s="23">
        <f t="shared" ref="CV8:CV12" ca="1" si="43">-$CP8/33</f>
        <v>-2.1573349387918918E-3</v>
      </c>
      <c r="CW8" s="23">
        <f t="shared" ref="CW8:CW12" ca="1" si="44">-$CP8/65</f>
        <v>-1.0952623535404988E-3</v>
      </c>
      <c r="CX8" s="24">
        <f t="shared" ref="CX8:CX12" ca="1" si="45">-$CP8/65*-1</f>
        <v>1.0952623535404988E-3</v>
      </c>
      <c r="CY8" s="24">
        <f t="shared" ref="CY8:CY12" ca="1" si="46">-$CP8/33*-1</f>
        <v>2.1573349387918918E-3</v>
      </c>
      <c r="CZ8" s="24">
        <f t="shared" ref="CZ8:CZ12" ca="1" si="47">-$CP8/17*-1</f>
        <v>4.187767822360731E-3</v>
      </c>
      <c r="DA8" s="24">
        <f t="shared" ca="1" si="38"/>
        <v>7.9102281089036032E-3</v>
      </c>
      <c r="DB8" s="24">
        <f t="shared" ca="1" si="39"/>
        <v>1.4238410596026485E-2</v>
      </c>
      <c r="DC8" s="24">
        <f t="shared" ca="1" si="40"/>
        <v>2.373068432671081E-2</v>
      </c>
      <c r="DD8" s="24">
        <f t="shared" ca="1" si="41"/>
        <v>3.5596026490066213E-2</v>
      </c>
      <c r="DF8" s="19" cm="1">
        <f t="array" aca="1" ref="DF8" ca="1">MAX(_xlfn._xlws.FILTER(CQ8:DD8,CQ8:DD8&lt;BJ8))</f>
        <v>-4.187767822360731E-3</v>
      </c>
      <c r="DG8" s="19" cm="1">
        <f t="array" aca="1" ref="DG8" ca="1">MIN(_xlfn._xlws.FILTER(CQ8:DD8,CQ8:DD8&gt;BJ8))</f>
        <v>-2.1573349387918918E-3</v>
      </c>
      <c r="DH8" s="2" cm="1">
        <f t="array" aca="1" ref="DH8" ca="1">_FV(EE8,"Fechamento anterior",TRUE)</f>
        <v>8.61</v>
      </c>
      <c r="DI8" s="36">
        <f t="shared" ca="1" si="22"/>
        <v>0.34645186775794501</v>
      </c>
      <c r="DJ8" s="18">
        <f t="shared" ca="1" si="23"/>
        <v>8.5739433190494729</v>
      </c>
      <c r="DK8" s="18">
        <f t="shared" ca="1" si="24"/>
        <v>8.5914253461770009</v>
      </c>
      <c r="DL8" s="9"/>
      <c r="DM8" s="9"/>
      <c r="DN8" s="9"/>
      <c r="DO8" s="9"/>
      <c r="DP8" s="79">
        <v>1.2107759055594745E-3</v>
      </c>
      <c r="DQ8" s="79">
        <v>2.2197558268590364E-3</v>
      </c>
      <c r="DR8" s="79">
        <v>1.2107759055594745E-3</v>
      </c>
      <c r="DS8" s="79">
        <f t="shared" ca="1" si="25"/>
        <v>2.0304328835688392E-3</v>
      </c>
      <c r="DT8" s="47"/>
      <c r="DU8" s="43">
        <f t="shared" si="26"/>
        <v>9.5492146273921288E-2</v>
      </c>
      <c r="DV8" s="83">
        <f t="shared" ca="1" si="27"/>
        <v>0.84640000000000004</v>
      </c>
      <c r="DW8" s="83">
        <f t="shared" ca="1" si="28"/>
        <v>0.76869999999999994</v>
      </c>
      <c r="DX8" s="83">
        <f t="shared" ca="1" si="29"/>
        <v>7.7700000000000102E-2</v>
      </c>
      <c r="DY8" s="67"/>
      <c r="DZ8" s="67"/>
      <c r="EA8" s="85"/>
      <c r="EB8" s="44">
        <v>23400</v>
      </c>
      <c r="EC8" s="44" cm="1">
        <f t="array" aca="1" ref="EC8" ca="1">_FV(EE8,"Volume")</f>
        <v>4000</v>
      </c>
      <c r="EE8" s="2" t="e" vm="8">
        <v>#VALUE!</v>
      </c>
      <c r="EG8" s="10" cm="1">
        <f t="array" aca="1" ref="EG8" ca="1">_FV(EE8,"Ações em circulação",TRUE)</f>
        <v>315912900</v>
      </c>
      <c r="EH8" s="21">
        <f>VLOOKUP(BH8,Fundamentus!A:U,5,FALSE)</f>
        <v>0</v>
      </c>
      <c r="EI8" s="2" t="e">
        <f t="shared" ca="1" si="30"/>
        <v>#DIV/0!</v>
      </c>
      <c r="EJ8" s="20" t="e">
        <v>#DIV/0!</v>
      </c>
      <c r="EK8" s="20" t="e">
        <f t="shared" ca="1" si="31"/>
        <v>#DIV/0!</v>
      </c>
      <c r="EM8" s="40" t="str">
        <f>IF(VLOOKUP(BH8,Fundamentus!A:U,3,FALSE)&lt;15,"Bom",IF(VLOOKUP(BH8,Fundamentus!A:U,3,FALSE)&gt;15,"Ruim","n/a"))</f>
        <v>Bom</v>
      </c>
      <c r="EN8" s="36" t="str">
        <f>IF(VLOOKUP(BH8,Fundamentus!A:U,4,FALSE)&lt;1,"Baixo",IF(VLOOKUP(BH8,Fundamentus!A:U,4,FALSE)&lt;1.5,"Moderado",IF(VLOOKUP(BH8,Fundamentus!A:U,4,FALSE)&gt;1.5,"Alto","n/a")))</f>
        <v>Moderado</v>
      </c>
      <c r="EO8" s="20" t="str">
        <f>IF(VLOOKUP(BH8,Fundamentus!A:U,8,FALSE)&lt;0,"Risco elevado",IF(VLOOKUP(BH8,Fundamentus!A:U,8,FALSE)&lt;1,"Saudável",IF(VLOOKUP(BH8,Fundamentus!A:U,8,FALSE)&lt;3,"Estável",IF(VLOOKUP(BH8,Fundamentus!A:U,8,FALSE)&gt;3,"Alerta","n/a"))))</f>
        <v>Saudável</v>
      </c>
      <c r="EP8" s="36" t="str">
        <f t="shared" si="32"/>
        <v>Ruim</v>
      </c>
      <c r="EQ8" s="20" t="str">
        <f>IF(VLOOKUP(BH8,Fundamentus!A:U,12,FALSE)&lt;2,"Subvalorizada",IF(VLOOKUP(BH8,Fundamentus!A:U,12,FALSE)&lt;6,"Muita barata",IF(VLOOKUP(BH8,Fundamentus!A:U,12,FALSE)&lt;6,"Barata",IF(VLOOKUP(BH8,Fundamentus!A:U,12,FALSE)&lt;8,"Atrativa",IF(VLOOKUP(BH8,Fundamentus!A:U,12,FALSE)&gt;8,"Supervalorizada","n/a")))))</f>
        <v>Subvalorizada</v>
      </c>
      <c r="ES8" s="20" t="str">
        <f>IF(VLOOKUP(BH8,Fundamentus!A:U,17,FALSE)&lt;0.1,"Fraco retorno",IF(VLOOKUP(BH8,Fundamentus!A:U,17,FALSE)&gt;0.1,"Bom retorno","n/a"))</f>
        <v>Bom retorno</v>
      </c>
      <c r="ET8" s="20" t="str">
        <f>IF(VLOOKUP(BH8,Fundamentus!A:U,16,FALSE)&lt;0.1,"Ineficiente",IF(VLOOKUP(BH8,Fundamentus!A:U,16,FALSE)&gt;0.1,"Eficiente","n/a"))</f>
        <v>Ineficiente</v>
      </c>
      <c r="EU8" s="41" t="str">
        <f>IF(VLOOKUP(BH8,Fundamentus!A:U,16,FALSE)&lt;0.1,"Oper. Ineficiente",IF(VLOOKUP(BH8,Fundamentus!A:U,16,FALSE)&gt;0.1,"Oper.Eficiente","n/a"))</f>
        <v>Oper. Ineficiente</v>
      </c>
      <c r="EV8" s="42">
        <f>VLOOKUP(BH8,Fundamentus!A:U,14,FALSE)</f>
        <v>0</v>
      </c>
      <c r="EW8" s="20" t="str">
        <f>IF(VLOOKUP(BH8,Fundamentus!A:U,21,FALSE)&lt;0,"Negativo",IF(VLOOKUP(BH8,Fundamentus!A:U,21,FALSE)&lt;0.05,"Fraco",IF(VLOOKUP(BH8,Fundamentus!A:U,21,FALSE)&lt;0.1,"Bom",IF(VLOOKUP(BH8,Fundamentus!A:U,21,FALSE)&gt;0.1,"Muito bom","n/a"))))</f>
        <v>Muito bom</v>
      </c>
      <c r="EY8" s="37" t="str">
        <f>IF(VLOOKUP(BH8,Fundamentus!A:U,15,FALSE)&gt;1,"Bom",IF(VLOOKUP(BH8,Fundamentus!A:U,15,FALSE)&lt;1,"Ruim","n/a"))</f>
        <v>Ruim</v>
      </c>
      <c r="EZ8" s="20" t="str">
        <f>IF(VLOOKUP(BH8,Fundamentus!A:U,20,FALSE)&lt;0.5,"Baixa",IF(VLOOKUP(BH8,Fundamentus!A:U,20,FALSE)&lt;1,"Moderada",IF(VLOOKUP(BH8,Fundamentus!A:U,20,FALSE)&lt;2,"Alerta",IF(VLOOKUP(BH8,Fundamentus!A:U,20,FALSE)&gt;2,"Alta","n/a"))))</f>
        <v>Baixa</v>
      </c>
    </row>
    <row r="9" spans="1:156" s="2" customFormat="1" ht="11.25" hidden="1" x14ac:dyDescent="0.2">
      <c r="A9" s="4">
        <v>12.37</v>
      </c>
      <c r="B9" s="4">
        <v>12.05</v>
      </c>
      <c r="C9" s="4">
        <v>12.38</v>
      </c>
      <c r="D9" s="4">
        <v>11.87</v>
      </c>
      <c r="E9" s="4">
        <v>11.59</v>
      </c>
      <c r="F9" s="4">
        <v>11.56</v>
      </c>
      <c r="G9" s="4">
        <v>11.24</v>
      </c>
      <c r="H9" s="4">
        <v>11.28</v>
      </c>
      <c r="I9" s="4">
        <v>11.41</v>
      </c>
      <c r="J9" s="4">
        <v>11.32</v>
      </c>
      <c r="K9" s="4">
        <v>11.64</v>
      </c>
      <c r="L9" s="4">
        <v>11.73</v>
      </c>
      <c r="M9" s="4">
        <v>11.88</v>
      </c>
      <c r="N9" s="4">
        <v>11.87</v>
      </c>
      <c r="O9" s="4">
        <v>12.45</v>
      </c>
      <c r="P9" s="4">
        <v>12.89</v>
      </c>
      <c r="Q9" s="4">
        <v>13.08</v>
      </c>
      <c r="R9" s="4">
        <v>12.86</v>
      </c>
      <c r="S9" s="4">
        <v>12.99</v>
      </c>
      <c r="T9" s="4">
        <v>12.73</v>
      </c>
      <c r="U9" s="4">
        <v>12.76</v>
      </c>
      <c r="V9" s="4">
        <v>12.92</v>
      </c>
      <c r="W9" s="4">
        <v>13.28</v>
      </c>
      <c r="X9" s="4">
        <v>12.88</v>
      </c>
      <c r="Y9" s="4">
        <v>12.77</v>
      </c>
      <c r="Z9" s="4">
        <v>12.75</v>
      </c>
      <c r="AA9" s="4">
        <v>12.54</v>
      </c>
      <c r="AB9" s="4">
        <v>12.33</v>
      </c>
      <c r="AC9" s="4">
        <v>12.64</v>
      </c>
      <c r="AD9" s="4">
        <v>12.68</v>
      </c>
      <c r="AE9" s="4">
        <v>12.68</v>
      </c>
      <c r="AF9" s="4">
        <v>14.22</v>
      </c>
      <c r="AG9" s="4">
        <v>13.08</v>
      </c>
      <c r="AH9" s="4">
        <v>12.22</v>
      </c>
      <c r="AI9" s="4">
        <v>12.07</v>
      </c>
      <c r="AJ9" s="4">
        <v>11.33</v>
      </c>
      <c r="AK9" s="4">
        <v>11.16</v>
      </c>
      <c r="AL9" s="4">
        <v>11.09</v>
      </c>
      <c r="AM9" s="4">
        <v>10.87</v>
      </c>
      <c r="AN9" s="4">
        <v>11.1</v>
      </c>
      <c r="AO9" s="4">
        <v>10.85</v>
      </c>
      <c r="AP9" s="4">
        <v>11.13</v>
      </c>
      <c r="AQ9" s="4">
        <v>11.12</v>
      </c>
      <c r="AR9" s="4">
        <v>12.22</v>
      </c>
      <c r="AS9" s="4">
        <v>13.1</v>
      </c>
      <c r="AT9" s="4">
        <v>13.64</v>
      </c>
      <c r="AU9" s="4">
        <v>13.664999999999999</v>
      </c>
      <c r="AV9" s="4">
        <v>13.43</v>
      </c>
      <c r="AW9" s="4">
        <v>13.71</v>
      </c>
      <c r="AX9" s="4">
        <v>13.48</v>
      </c>
      <c r="AY9" s="12">
        <v>14</v>
      </c>
      <c r="AZ9" s="12">
        <v>14.09</v>
      </c>
      <c r="BA9" s="12">
        <v>14.57</v>
      </c>
      <c r="BB9" s="18">
        <v>14.37</v>
      </c>
      <c r="BC9" s="63">
        <v>14.41</v>
      </c>
      <c r="BD9" s="63">
        <v>14.24</v>
      </c>
      <c r="BE9" s="63">
        <v>14.03</v>
      </c>
      <c r="BF9" s="63">
        <v>14.08</v>
      </c>
      <c r="BG9" s="91" cm="1">
        <f t="array" aca="1" ref="BG9" ca="1">_FV(EE9,"Preço")</f>
        <v>13.64</v>
      </c>
      <c r="BH9" s="93" t="s">
        <v>7</v>
      </c>
      <c r="BI9" s="32" cm="1">
        <f t="array" aca="1" ref="BI9" ca="1">_FV(EE9,"Beta")</f>
        <v>0.66279999999999994</v>
      </c>
      <c r="BJ9" s="96" cm="1">
        <f t="array" aca="1" ref="BJ9" ca="1">_FV(EE9,"Variação (%)",TRUE)</f>
        <v>-1.1594E-2</v>
      </c>
      <c r="BK9" s="49"/>
      <c r="BL9" s="49"/>
      <c r="BN9" s="32"/>
      <c r="BO9" s="20" cm="1">
        <f t="array" aca="1" ref="BO9" ca="1">_FV(EE9,"Baixo")</f>
        <v>13.58</v>
      </c>
      <c r="BP9" s="20" cm="1">
        <f t="array" aca="1" ref="BP9" ca="1">_FV(EE9,"Alto")</f>
        <v>13.79</v>
      </c>
      <c r="BQ9" s="32"/>
      <c r="BR9" s="74">
        <f ca="1">SQRT(22.5*(BG9/VLOOKUP(BH9,Fundamentus!A:U,3,FALSE))*(BG9/VLOOKUP(BH9,Fundamentus!A:U,4,FALSE)))</f>
        <v>10.936876876572015</v>
      </c>
      <c r="BT9" s="73">
        <f t="shared" ca="1" si="0"/>
        <v>-3.1249999999999965E-2</v>
      </c>
      <c r="BU9" s="36">
        <f t="shared" si="1"/>
        <v>0.13419563459983833</v>
      </c>
      <c r="BV9" s="8"/>
      <c r="BW9" s="72">
        <f t="shared" si="2"/>
        <v>10.85</v>
      </c>
      <c r="BX9" s="72">
        <f t="shared" si="3"/>
        <v>12.563706896551725</v>
      </c>
      <c r="BY9" s="72">
        <f t="shared" si="4"/>
        <v>14.57</v>
      </c>
      <c r="BZ9" s="17"/>
      <c r="CA9" s="17"/>
      <c r="CB9" s="43">
        <f t="shared" si="5"/>
        <v>13.598228139408352</v>
      </c>
      <c r="CC9" s="18">
        <f t="shared" si="6"/>
        <v>13.895885660731096</v>
      </c>
      <c r="CD9" s="43">
        <f t="shared" si="7"/>
        <v>14.19354318205384</v>
      </c>
      <c r="CE9" s="98">
        <f t="shared" ca="1" si="8"/>
        <v>-0.85966468978838273</v>
      </c>
      <c r="CF9" s="17"/>
      <c r="CG9" s="20">
        <f t="shared" si="9"/>
        <v>8.0433333333333312</v>
      </c>
      <c r="CH9" s="20">
        <f t="shared" si="10"/>
        <v>9.4466666666666654</v>
      </c>
      <c r="CI9" s="20">
        <f t="shared" si="11"/>
        <v>11.763333333333332</v>
      </c>
      <c r="CJ9" s="49">
        <f t="shared" si="12"/>
        <v>13.166666666666666</v>
      </c>
      <c r="CK9" s="20">
        <f t="shared" si="13"/>
        <v>15.483333333333333</v>
      </c>
      <c r="CL9" s="20">
        <f t="shared" si="14"/>
        <v>16.886666666666667</v>
      </c>
      <c r="CM9" s="20">
        <f t="shared" si="15"/>
        <v>19.203333333333333</v>
      </c>
      <c r="CN9" s="2" cm="1">
        <f t="array" aca="1" ref="CN9" ca="1">MAX(_xlfn._xlws.FILTER(CG9:CM9,CG9:CM9&lt;BG9))</f>
        <v>13.166666666666666</v>
      </c>
      <c r="CO9" s="2" cm="1">
        <f t="array" aca="1" ref="CO9" ca="1">MIN(_xlfn._xlws.FILTER($CG9:$CM9,$CG9:$CM9&gt;BG9))</f>
        <v>15.483333333333333</v>
      </c>
      <c r="CP9" s="19">
        <f t="shared" ca="1" si="33"/>
        <v>0.17594936708860764</v>
      </c>
      <c r="CQ9" s="23">
        <f t="shared" ca="1" si="34"/>
        <v>-8.7974683544303822E-2</v>
      </c>
      <c r="CR9" s="23">
        <f t="shared" ca="1" si="35"/>
        <v>-5.8649789029535881E-2</v>
      </c>
      <c r="CS9" s="23">
        <f t="shared" ca="1" si="36"/>
        <v>-3.5189873417721527E-2</v>
      </c>
      <c r="CT9" s="23">
        <f t="shared" ca="1" si="37"/>
        <v>-1.9549929676511962E-2</v>
      </c>
      <c r="CU9" s="23">
        <f t="shared" ca="1" si="42"/>
        <v>-1.0349962769918097E-2</v>
      </c>
      <c r="CV9" s="23">
        <f t="shared" ca="1" si="43"/>
        <v>-5.3317990026850804E-3</v>
      </c>
      <c r="CW9" s="23">
        <f t="shared" ca="1" si="44"/>
        <v>-2.7069133398247331E-3</v>
      </c>
      <c r="CX9" s="24">
        <f t="shared" ca="1" si="45"/>
        <v>2.7069133398247331E-3</v>
      </c>
      <c r="CY9" s="24">
        <f t="shared" ca="1" si="46"/>
        <v>5.3317990026850804E-3</v>
      </c>
      <c r="CZ9" s="24">
        <f t="shared" ca="1" si="47"/>
        <v>1.0349962769918097E-2</v>
      </c>
      <c r="DA9" s="24">
        <f t="shared" ca="1" si="38"/>
        <v>1.9549929676511962E-2</v>
      </c>
      <c r="DB9" s="24">
        <f t="shared" ca="1" si="39"/>
        <v>3.5189873417721527E-2</v>
      </c>
      <c r="DC9" s="24">
        <f t="shared" ca="1" si="40"/>
        <v>5.8649789029535881E-2</v>
      </c>
      <c r="DD9" s="24">
        <f t="shared" ca="1" si="41"/>
        <v>8.7974683544303822E-2</v>
      </c>
      <c r="DF9" s="19" cm="1">
        <f t="array" aca="1" ref="DF9" ca="1">MAX(_xlfn._xlws.FILTER(CQ9:DD9,CQ9:DD9&lt;BJ9))</f>
        <v>-1.9549929676511962E-2</v>
      </c>
      <c r="DG9" s="19" cm="1">
        <f t="array" aca="1" ref="DG9" ca="1">MIN(_xlfn._xlws.FILTER(CQ9:DD9,CQ9:DD9&gt;BJ9))</f>
        <v>-1.0349962769918097E-2</v>
      </c>
      <c r="DH9" s="2" cm="1">
        <f t="array" aca="1" ref="DH9" ca="1">_FV(EE9,"Fechamento anterior",TRUE)</f>
        <v>13.8</v>
      </c>
      <c r="DI9" s="36">
        <f t="shared" ca="1" si="22"/>
        <v>0.86475602126993534</v>
      </c>
      <c r="DJ9" s="18">
        <f t="shared" ca="1" si="23"/>
        <v>13.530210970464136</v>
      </c>
      <c r="DK9" s="18">
        <f t="shared" ca="1" si="24"/>
        <v>13.657170513775132</v>
      </c>
      <c r="DL9" s="9"/>
      <c r="DM9" s="9"/>
      <c r="DN9" s="9"/>
      <c r="DO9" s="9"/>
      <c r="DP9" s="79">
        <v>7.1936435895917049E-3</v>
      </c>
      <c r="DQ9" s="79">
        <v>2.0686026507672445E-3</v>
      </c>
      <c r="DR9" s="79">
        <v>7.2502494867577455E-3</v>
      </c>
      <c r="DS9" s="79">
        <f t="shared" ca="1" si="25"/>
        <v>9.1999669065938646E-3</v>
      </c>
      <c r="DT9" s="47"/>
      <c r="DU9" s="43">
        <f t="shared" si="26"/>
        <v>0.14882876066137241</v>
      </c>
      <c r="DV9" s="83">
        <f t="shared" ca="1" si="27"/>
        <v>1.0889</v>
      </c>
      <c r="DW9" s="83">
        <f t="shared" ca="1" si="28"/>
        <v>1.8222</v>
      </c>
      <c r="DX9" s="83">
        <f t="shared" ca="1" si="29"/>
        <v>-0.73330000000000006</v>
      </c>
      <c r="DY9" s="67"/>
      <c r="DZ9" s="67"/>
      <c r="EA9" s="85"/>
      <c r="EB9" s="44">
        <v>26744800</v>
      </c>
      <c r="EC9" s="44" cm="1">
        <f t="array" aca="1" ref="EC9" ca="1">_FV(EE9,"Volume")</f>
        <v>28243400</v>
      </c>
      <c r="EE9" s="2" t="e" vm="9">
        <v>#VALUE!</v>
      </c>
      <c r="EG9" s="10" cm="1">
        <f t="array" aca="1" ref="EG9" ca="1">_FV(EE9,"Ações em circulação",TRUE)</f>
        <v>15761640000</v>
      </c>
      <c r="EH9" s="21">
        <f>VLOOKUP(BH9,Fundamentus!A:U,5,FALSE)</f>
        <v>2.3849999999999998</v>
      </c>
      <c r="EI9" s="2">
        <f t="shared" ca="1" si="30"/>
        <v>90142041761.006302</v>
      </c>
      <c r="EJ9" s="20">
        <v>15074075628.679249</v>
      </c>
      <c r="EK9" s="20">
        <f t="shared" ca="1" si="31"/>
        <v>14603010765.283022</v>
      </c>
      <c r="EM9" s="40" t="str">
        <f>IF(VLOOKUP(BH9,Fundamentus!A:U,3,FALSE)&lt;15,"Bom",IF(VLOOKUP(BH9,Fundamentus!A:U,3,FALSE)&gt;15,"Ruim","n/a"))</f>
        <v>Ruim</v>
      </c>
      <c r="EN9" s="36" t="str">
        <f>IF(VLOOKUP(BH9,Fundamentus!A:U,4,FALSE)&lt;1,"Baixo",IF(VLOOKUP(BH9,Fundamentus!A:U,4,FALSE)&lt;1.5,"Moderado",IF(VLOOKUP(BH9,Fundamentus!A:U,4,FALSE)&gt;1.5,"Alto","n/a")))</f>
        <v>Alto</v>
      </c>
      <c r="EO9" s="20" t="str">
        <f>IF(VLOOKUP(BH9,Fundamentus!A:U,8,FALSE)&lt;0,"Risco elevado",IF(VLOOKUP(BH9,Fundamentus!A:U,8,FALSE)&lt;1,"Saudável",IF(VLOOKUP(BH9,Fundamentus!A:U,8,FALSE)&lt;3,"Estável",IF(VLOOKUP(BH9,Fundamentus!A:U,8,FALSE)&gt;3,"Alerta","n/a"))))</f>
        <v>Alerta</v>
      </c>
      <c r="EP9" s="36" t="str">
        <f t="shared" si="32"/>
        <v>Bom</v>
      </c>
      <c r="EQ9" s="20" t="str">
        <f>IF(VLOOKUP(BH9,Fundamentus!A:U,12,FALSE)&lt;2,"Subvalorizada",IF(VLOOKUP(BH9,Fundamentus!A:U,12,FALSE)&lt;6,"Muita barata",IF(VLOOKUP(BH9,Fundamentus!A:U,12,FALSE)&lt;6,"Barata",IF(VLOOKUP(BH9,Fundamentus!A:U,12,FALSE)&lt;8,"Atrativa",IF(VLOOKUP(BH9,Fundamentus!A:U,12,FALSE)&gt;8,"Supervalorizada","n/a")))))</f>
        <v>Atrativa</v>
      </c>
      <c r="ES9" s="20" t="str">
        <f>IF(VLOOKUP(BH9,Fundamentus!A:U,17,FALSE)&lt;0.1,"Fraco retorno",IF(VLOOKUP(BH9,Fundamentus!A:U,17,FALSE)&gt;0.1,"Bom retorno","n/a"))</f>
        <v>Bom retorno</v>
      </c>
      <c r="ET9" s="20" t="str">
        <f>IF(VLOOKUP(BH9,Fundamentus!A:U,16,FALSE)&lt;0.1,"Ineficiente",IF(VLOOKUP(BH9,Fundamentus!A:U,16,FALSE)&gt;0.1,"Eficiente","n/a"))</f>
        <v>Eficiente</v>
      </c>
      <c r="EU9" s="41" t="str">
        <f>IF(VLOOKUP(BH9,Fundamentus!A:U,16,FALSE)&lt;0.1,"Oper. Ineficiente",IF(VLOOKUP(BH9,Fundamentus!A:U,16,FALSE)&gt;0.1,"Oper.Eficiente","n/a"))</f>
        <v>Oper.Eficiente</v>
      </c>
      <c r="EV9" s="42">
        <f>VLOOKUP(BH9,Fundamentus!A:U,14,FALSE)</f>
        <v>0.16200000000000001</v>
      </c>
      <c r="EW9" s="20" t="str">
        <f>IF(VLOOKUP(BH9,Fundamentus!A:U,21,FALSE)&lt;0,"Negativo",IF(VLOOKUP(BH9,Fundamentus!A:U,21,FALSE)&lt;0.05,"Fraco",IF(VLOOKUP(BH9,Fundamentus!A:U,21,FALSE)&lt;0.1,"Bom",IF(VLOOKUP(BH9,Fundamentus!A:U,21,FALSE)&gt;0.1,"Muito bom","n/a"))))</f>
        <v>Bom</v>
      </c>
      <c r="EY9" s="37" t="str">
        <f>IF(VLOOKUP(BH9,Fundamentus!A:U,15,FALSE)&gt;1,"Bom",IF(VLOOKUP(BH9,Fundamentus!A:U,15,FALSE)&lt;1,"Ruim","n/a"))</f>
        <v>Bom</v>
      </c>
      <c r="EZ9" s="20" t="str">
        <f>IF(VLOOKUP(BH9,Fundamentus!A:U,20,FALSE)&lt;0.5,"Baixa",IF(VLOOKUP(BH9,Fundamentus!A:U,20,FALSE)&lt;1,"Moderada",IF(VLOOKUP(BH9,Fundamentus!A:U,20,FALSE)&lt;2,"Alerta",IF(VLOOKUP(BH9,Fundamentus!A:U,20,FALSE)&gt;2,"Alta","n/a"))))</f>
        <v>Baixa</v>
      </c>
    </row>
    <row r="10" spans="1:156" s="2" customFormat="1" ht="11.25" hidden="1" x14ac:dyDescent="0.2">
      <c r="A10" s="4">
        <v>2.0099999999999998</v>
      </c>
      <c r="B10" s="4">
        <v>2.13</v>
      </c>
      <c r="C10" s="4">
        <v>2.12</v>
      </c>
      <c r="D10" s="4">
        <v>2.52</v>
      </c>
      <c r="E10" s="4">
        <v>2.95</v>
      </c>
      <c r="F10" s="4">
        <v>2.25</v>
      </c>
      <c r="G10" s="4">
        <v>2.2799999999999998</v>
      </c>
      <c r="H10" s="4">
        <v>2.36</v>
      </c>
      <c r="I10" s="4">
        <v>2.56</v>
      </c>
      <c r="J10" s="4">
        <v>2.73</v>
      </c>
      <c r="K10" s="4">
        <v>2.64</v>
      </c>
      <c r="L10" s="4">
        <v>2.96</v>
      </c>
      <c r="M10" s="4">
        <v>3.01</v>
      </c>
      <c r="N10" s="4">
        <v>2.8</v>
      </c>
      <c r="O10" s="4">
        <v>2.73</v>
      </c>
      <c r="P10" s="4">
        <v>2.73</v>
      </c>
      <c r="Q10" s="4">
        <v>2.73</v>
      </c>
      <c r="R10" s="4">
        <v>3.05</v>
      </c>
      <c r="S10" s="4">
        <v>3.15</v>
      </c>
      <c r="T10" s="4">
        <v>2.98</v>
      </c>
      <c r="U10" s="4">
        <v>2.92</v>
      </c>
      <c r="V10" s="4">
        <v>3.03</v>
      </c>
      <c r="W10" s="4">
        <v>3.12</v>
      </c>
      <c r="X10" s="4">
        <v>3.02</v>
      </c>
      <c r="Y10" s="4">
        <v>2.91</v>
      </c>
      <c r="Z10" s="4">
        <v>2.96</v>
      </c>
      <c r="AA10" s="4">
        <v>2.95</v>
      </c>
      <c r="AB10" s="4">
        <v>2.69</v>
      </c>
      <c r="AC10" s="4">
        <v>2.4900000000000002</v>
      </c>
      <c r="AD10" s="4">
        <v>2.6</v>
      </c>
      <c r="AE10" s="4">
        <v>2.69</v>
      </c>
      <c r="AF10" s="4">
        <v>2.64</v>
      </c>
      <c r="AG10" s="4">
        <v>2.56</v>
      </c>
      <c r="AH10" s="4">
        <v>2.69</v>
      </c>
      <c r="AI10" s="4">
        <v>2.56</v>
      </c>
      <c r="AJ10" s="4">
        <v>2.79</v>
      </c>
      <c r="AK10" s="4">
        <v>2.72</v>
      </c>
      <c r="AL10" s="4">
        <v>2.85</v>
      </c>
      <c r="AM10" s="4">
        <v>2.88</v>
      </c>
      <c r="AN10" s="4">
        <v>2.93</v>
      </c>
      <c r="AO10" s="4">
        <v>2.85</v>
      </c>
      <c r="AP10" s="4">
        <v>2.92</v>
      </c>
      <c r="AQ10" s="4">
        <v>2.87</v>
      </c>
      <c r="AR10" s="4">
        <v>2.9</v>
      </c>
      <c r="AS10" s="4">
        <v>2.89</v>
      </c>
      <c r="AT10" s="4">
        <v>2.88</v>
      </c>
      <c r="AU10" s="4">
        <v>2.8849999999999998</v>
      </c>
      <c r="AV10" s="4">
        <v>2.91</v>
      </c>
      <c r="AW10" s="4">
        <v>2.78</v>
      </c>
      <c r="AX10" s="4">
        <v>2.75</v>
      </c>
      <c r="AY10" s="12">
        <v>2.89</v>
      </c>
      <c r="AZ10" s="12">
        <v>2.9</v>
      </c>
      <c r="BA10" s="12">
        <v>2.82</v>
      </c>
      <c r="BB10" s="18">
        <v>2.81</v>
      </c>
      <c r="BC10" s="63">
        <v>2.82</v>
      </c>
      <c r="BD10" s="63">
        <v>2.88</v>
      </c>
      <c r="BE10" s="63">
        <v>2.98</v>
      </c>
      <c r="BF10" s="63">
        <v>2.9</v>
      </c>
      <c r="BG10" s="91" cm="1">
        <f t="array" aca="1" ref="BG10" ca="1">_FV(EE10,"Preço")</f>
        <v>2.88</v>
      </c>
      <c r="BH10" s="93" t="s">
        <v>8</v>
      </c>
      <c r="BI10" s="32" cm="1">
        <f t="array" aca="1" ref="BI10" ca="1">_FV(EE10,"Beta")</f>
        <v>0.7571</v>
      </c>
      <c r="BJ10" s="96" cm="1">
        <f t="array" aca="1" ref="BJ10" ca="1">_FV(EE10,"Variação (%)",TRUE)</f>
        <v>-3.0303E-2</v>
      </c>
      <c r="BK10" s="49"/>
      <c r="BL10" s="49"/>
      <c r="BN10" s="32"/>
      <c r="BO10" s="20" cm="1">
        <f t="array" aca="1" ref="BO10" ca="1">_FV(EE10,"Baixo")</f>
        <v>2.88</v>
      </c>
      <c r="BP10" s="20" cm="1">
        <f t="array" aca="1" ref="BP10" ca="1">_FV(EE10,"Alto")</f>
        <v>2.97</v>
      </c>
      <c r="BQ10" s="32"/>
      <c r="BR10" s="74">
        <f ca="1">SQRT(22.5*(BG10/VLOOKUP(BH10,Fundamentus!A:U,3,FALSE))*(BG10/VLOOKUP(BH10,Fundamentus!A:U,4,FALSE)))</f>
        <v>203.64675298172568</v>
      </c>
      <c r="BT10" s="73">
        <f t="shared" ca="1" si="0"/>
        <v>-6.896551724137937E-3</v>
      </c>
      <c r="BU10" s="36">
        <f t="shared" si="1"/>
        <v>0.48258706467661705</v>
      </c>
      <c r="BV10" s="8"/>
      <c r="BW10" s="72">
        <f t="shared" si="2"/>
        <v>2.0099999999999998</v>
      </c>
      <c r="BX10" s="72">
        <f t="shared" si="3"/>
        <v>2.7642241379310333</v>
      </c>
      <c r="BY10" s="72">
        <f t="shared" si="4"/>
        <v>3.15</v>
      </c>
      <c r="BZ10" s="17"/>
      <c r="CA10" s="17"/>
      <c r="CB10" s="43">
        <f t="shared" si="5"/>
        <v>2.864720026309385</v>
      </c>
      <c r="CC10" s="18">
        <f t="shared" si="6"/>
        <v>2.9791752577319812</v>
      </c>
      <c r="CD10" s="43">
        <f t="shared" si="7"/>
        <v>3.0936304891545774</v>
      </c>
      <c r="CE10" s="98">
        <f t="shared" ca="1" si="8"/>
        <v>-0.86649825000835901</v>
      </c>
      <c r="CF10" s="17"/>
      <c r="CG10" s="20">
        <f t="shared" si="9"/>
        <v>1.0833333333333339</v>
      </c>
      <c r="CH10" s="20">
        <f t="shared" si="10"/>
        <v>1.5466666666666669</v>
      </c>
      <c r="CI10" s="20">
        <f t="shared" si="11"/>
        <v>2.223333333333334</v>
      </c>
      <c r="CJ10" s="49">
        <f t="shared" si="12"/>
        <v>2.686666666666667</v>
      </c>
      <c r="CK10" s="20">
        <f t="shared" si="13"/>
        <v>3.3633333333333342</v>
      </c>
      <c r="CL10" s="20">
        <f t="shared" si="14"/>
        <v>3.8266666666666671</v>
      </c>
      <c r="CM10" s="20">
        <f t="shared" si="15"/>
        <v>4.5033333333333339</v>
      </c>
      <c r="CN10" s="2" cm="1">
        <f t="array" aca="1" ref="CN10" ca="1">MAX(_xlfn._xlws.FILTER(CG10:CM10,CG10:CM10&lt;BG10))</f>
        <v>2.686666666666667</v>
      </c>
      <c r="CO10" s="2" cm="1">
        <f t="array" aca="1" ref="CO10" ca="1">MIN(_xlfn._xlws.FILTER($CG10:$CM10,$CG10:$CM10&gt;BG10))</f>
        <v>3.3633333333333342</v>
      </c>
      <c r="CP10" s="19">
        <f t="shared" ca="1" si="33"/>
        <v>0.25186104218362293</v>
      </c>
      <c r="CQ10" s="23">
        <f t="shared" ca="1" si="34"/>
        <v>-0.12593052109181146</v>
      </c>
      <c r="CR10" s="23">
        <f t="shared" ca="1" si="35"/>
        <v>-8.3953680727874305E-2</v>
      </c>
      <c r="CS10" s="23">
        <f t="shared" ca="1" si="36"/>
        <v>-5.0372208436724589E-2</v>
      </c>
      <c r="CT10" s="23">
        <f t="shared" ca="1" si="37"/>
        <v>-2.798456024262477E-2</v>
      </c>
      <c r="CU10" s="23">
        <f t="shared" ca="1" si="42"/>
        <v>-1.4815355422566054E-2</v>
      </c>
      <c r="CV10" s="23">
        <f t="shared" ca="1" si="43"/>
        <v>-7.6321527934431191E-3</v>
      </c>
      <c r="CW10" s="23">
        <f t="shared" ca="1" si="44"/>
        <v>-3.8747852643634295E-3</v>
      </c>
      <c r="CX10" s="24">
        <f t="shared" ca="1" si="45"/>
        <v>3.8747852643634295E-3</v>
      </c>
      <c r="CY10" s="24">
        <f t="shared" ca="1" si="46"/>
        <v>7.6321527934431191E-3</v>
      </c>
      <c r="CZ10" s="24">
        <f t="shared" ca="1" si="47"/>
        <v>1.4815355422566054E-2</v>
      </c>
      <c r="DA10" s="24">
        <f t="shared" ca="1" si="38"/>
        <v>2.798456024262477E-2</v>
      </c>
      <c r="DB10" s="24">
        <f t="shared" ca="1" si="39"/>
        <v>5.0372208436724589E-2</v>
      </c>
      <c r="DC10" s="24">
        <f t="shared" ca="1" si="40"/>
        <v>8.3953680727874305E-2</v>
      </c>
      <c r="DD10" s="24">
        <f t="shared" ca="1" si="41"/>
        <v>0.12593052109181146</v>
      </c>
      <c r="DF10" s="19" cm="1">
        <f t="array" aca="1" ref="DF10" ca="1">MAX(_xlfn._xlws.FILTER(CQ10:DD10,CQ10:DD10&lt;BJ10))</f>
        <v>-5.0372208436724589E-2</v>
      </c>
      <c r="DG10" s="19" cm="1">
        <f t="array" aca="1" ref="DG10" ca="1">MIN(_xlfn._xlws.FILTER(CQ10:DD10,CQ10:DD10&gt;BJ10))</f>
        <v>-2.798456024262477E-2</v>
      </c>
      <c r="DH10" s="2" cm="1">
        <f t="array" aca="1" ref="DH10" ca="1">_FV(EE10,"Fechamento anterior",TRUE)</f>
        <v>2.97</v>
      </c>
      <c r="DI10" s="36">
        <f t="shared" ca="1" si="22"/>
        <v>0.89643976712941853</v>
      </c>
      <c r="DJ10" s="18">
        <f t="shared" ca="1" si="23"/>
        <v>2.8203945409429281</v>
      </c>
      <c r="DK10" s="18">
        <f t="shared" ca="1" si="24"/>
        <v>2.8868858560794046</v>
      </c>
      <c r="DL10" s="9"/>
      <c r="DM10" s="9"/>
      <c r="DN10" s="9"/>
      <c r="DO10" s="9"/>
      <c r="DP10" s="79">
        <v>2.4388287204171674E-2</v>
      </c>
      <c r="DQ10" s="79">
        <v>1.4346051296571571E-2</v>
      </c>
      <c r="DR10" s="79">
        <v>8.4420994168286564E-3</v>
      </c>
      <c r="DS10" s="79">
        <f t="shared" ca="1" si="25"/>
        <v>2.2387648194099819E-2</v>
      </c>
      <c r="DT10" s="47"/>
      <c r="DU10" s="43">
        <f t="shared" si="26"/>
        <v>5.7227615711298037E-2</v>
      </c>
      <c r="DV10" s="83">
        <f t="shared" ca="1" si="27"/>
        <v>1.1832</v>
      </c>
      <c r="DW10" s="83">
        <f t="shared" ca="1" si="28"/>
        <v>3.7873999999999999</v>
      </c>
      <c r="DX10" s="83">
        <f t="shared" ca="1" si="29"/>
        <v>-2.6041999999999996</v>
      </c>
      <c r="DY10" s="67"/>
      <c r="DZ10" s="67"/>
      <c r="EA10" s="85"/>
      <c r="EB10" s="44">
        <v>11800</v>
      </c>
      <c r="EC10" s="44" cm="1">
        <f t="array" aca="1" ref="EC10" ca="1">_FV(EE10,"Volume")</f>
        <v>23000</v>
      </c>
      <c r="EE10" s="2" t="e" vm="10">
        <v>#VALUE!</v>
      </c>
      <c r="EG10" s="10" cm="1">
        <f t="array" aca="1" ref="EG10" ca="1">_FV(EE10,"Ações em circulação",TRUE)</f>
        <v>67691630</v>
      </c>
      <c r="EH10" s="21">
        <f>VLOOKUP(BH10,Fundamentus!A:U,5,FALSE)</f>
        <v>2.5999999999999999E-2</v>
      </c>
      <c r="EI10" s="2">
        <f t="shared" ca="1" si="30"/>
        <v>7498149784.6153851</v>
      </c>
      <c r="EJ10" s="20">
        <v>-1333368899.5461538</v>
      </c>
      <c r="EK10" s="20">
        <f t="shared" ca="1" si="31"/>
        <v>-1324173251.9630771</v>
      </c>
      <c r="EM10" s="40" t="str">
        <f>IF(VLOOKUP(BH10,Fundamentus!A:U,3,FALSE)&lt;15,"Bom",IF(VLOOKUP(BH10,Fundamentus!A:U,3,FALSE)&gt;15,"Ruim","n/a"))</f>
        <v>Bom</v>
      </c>
      <c r="EN10" s="36" t="str">
        <f>IF(VLOOKUP(BH10,Fundamentus!A:U,4,FALSE)&lt;1,"Baixo",IF(VLOOKUP(BH10,Fundamentus!A:U,4,FALSE)&lt;1.5,"Moderado",IF(VLOOKUP(BH10,Fundamentus!A:U,4,FALSE)&gt;1.5,"Alto","n/a")))</f>
        <v>Baixo</v>
      </c>
      <c r="EO10" s="20" t="str">
        <f>IF(VLOOKUP(BH10,Fundamentus!A:U,8,FALSE)&lt;0,"Risco elevado",IF(VLOOKUP(BH10,Fundamentus!A:U,8,FALSE)&lt;1,"Saudável",IF(VLOOKUP(BH10,Fundamentus!A:U,8,FALSE)&lt;3,"Estável",IF(VLOOKUP(BH10,Fundamentus!A:U,8,FALSE)&gt;3,"Alerta","n/a"))))</f>
        <v>Risco elevado</v>
      </c>
      <c r="EP10" s="36" t="str">
        <f t="shared" si="32"/>
        <v>Ruim</v>
      </c>
      <c r="EQ10" s="20" t="str">
        <f>IF(VLOOKUP(BH10,Fundamentus!A:U,12,FALSE)&lt;2,"Subvalorizada",IF(VLOOKUP(BH10,Fundamentus!A:U,12,FALSE)&lt;6,"Muita barata",IF(VLOOKUP(BH10,Fundamentus!A:U,12,FALSE)&lt;6,"Barata",IF(VLOOKUP(BH10,Fundamentus!A:U,12,FALSE)&lt;8,"Atrativa",IF(VLOOKUP(BH10,Fundamentus!A:U,12,FALSE)&gt;8,"Supervalorizada","n/a")))))</f>
        <v>Subvalorizada</v>
      </c>
      <c r="ES10" s="20" t="str">
        <f>IF(VLOOKUP(BH10,Fundamentus!A:U,17,FALSE)&lt;0.1,"Fraco retorno",IF(VLOOKUP(BH10,Fundamentus!A:U,17,FALSE)&gt;0.1,"Bom retorno","n/a"))</f>
        <v>Bom retorno</v>
      </c>
      <c r="ET10" s="20" t="str">
        <f>IF(VLOOKUP(BH10,Fundamentus!A:U,16,FALSE)&lt;0.1,"Ineficiente",IF(VLOOKUP(BH10,Fundamentus!A:U,16,FALSE)&gt;0.1,"Eficiente","n/a"))</f>
        <v>Ineficiente</v>
      </c>
      <c r="EU10" s="41" t="str">
        <f>IF(VLOOKUP(BH10,Fundamentus!A:U,16,FALSE)&lt;0.1,"Oper. Ineficiente",IF(VLOOKUP(BH10,Fundamentus!A:U,16,FALSE)&gt;0.1,"Oper.Eficiente","n/a"))</f>
        <v>Oper. Ineficiente</v>
      </c>
      <c r="EV10" s="42">
        <f>VLOOKUP(BH10,Fundamentus!A:U,14,FALSE)</f>
        <v>-0.17660000000000001</v>
      </c>
      <c r="EW10" s="20" t="str">
        <f>IF(VLOOKUP(BH10,Fundamentus!A:U,21,FALSE)&lt;0,"Negativo",IF(VLOOKUP(BH10,Fundamentus!A:U,21,FALSE)&lt;0.05,"Fraco",IF(VLOOKUP(BH10,Fundamentus!A:U,21,FALSE)&lt;0.1,"Bom",IF(VLOOKUP(BH10,Fundamentus!A:U,21,FALSE)&gt;0.1,"Muito bom","n/a"))))</f>
        <v>Muito bom</v>
      </c>
      <c r="EY10" s="37" t="str">
        <f>IF(VLOOKUP(BH10,Fundamentus!A:U,15,FALSE)&gt;1,"Bom",IF(VLOOKUP(BH10,Fundamentus!A:U,15,FALSE)&lt;1,"Ruim","n/a"))</f>
        <v>Ruim</v>
      </c>
      <c r="EZ10" s="20" t="str">
        <f>IF(VLOOKUP(BH10,Fundamentus!A:U,20,FALSE)&lt;0.5,"Baixa",IF(VLOOKUP(BH10,Fundamentus!A:U,20,FALSE)&lt;1,"Moderada",IF(VLOOKUP(BH10,Fundamentus!A:U,20,FALSE)&lt;2,"Alerta",IF(VLOOKUP(BH10,Fundamentus!A:U,20,FALSE)&gt;2,"Alta","n/a"))))</f>
        <v>Baixa</v>
      </c>
    </row>
    <row r="11" spans="1:156" s="2" customFormat="1" ht="11.25" hidden="1" x14ac:dyDescent="0.2">
      <c r="A11" s="4">
        <v>7.58</v>
      </c>
      <c r="B11" s="4">
        <v>8.09</v>
      </c>
      <c r="C11" s="4">
        <v>8.1199999999999992</v>
      </c>
      <c r="D11" s="4">
        <v>7.74</v>
      </c>
      <c r="E11" s="4">
        <v>7.1</v>
      </c>
      <c r="F11" s="4">
        <v>6.9</v>
      </c>
      <c r="G11" s="4">
        <v>7</v>
      </c>
      <c r="H11" s="4">
        <v>7</v>
      </c>
      <c r="I11" s="4">
        <v>7.28</v>
      </c>
      <c r="J11" s="4">
        <v>7.63</v>
      </c>
      <c r="K11" s="4">
        <v>7.7</v>
      </c>
      <c r="L11" s="4">
        <v>7.88</v>
      </c>
      <c r="M11" s="4">
        <v>7.6</v>
      </c>
      <c r="N11" s="4">
        <v>7.21</v>
      </c>
      <c r="O11" s="4">
        <v>7.44</v>
      </c>
      <c r="P11" s="4">
        <v>7.4</v>
      </c>
      <c r="Q11" s="4">
        <v>7.57</v>
      </c>
      <c r="R11" s="4">
        <v>7.12</v>
      </c>
      <c r="S11" s="4">
        <v>6.96</v>
      </c>
      <c r="T11" s="4">
        <v>6.42</v>
      </c>
      <c r="U11" s="4">
        <v>6.7</v>
      </c>
      <c r="V11" s="4">
        <v>6.26</v>
      </c>
      <c r="W11" s="4">
        <v>6.29</v>
      </c>
      <c r="X11" s="4">
        <v>6.57</v>
      </c>
      <c r="Y11" s="4">
        <v>6.38</v>
      </c>
      <c r="Z11" s="4">
        <v>6.6</v>
      </c>
      <c r="AA11" s="4">
        <v>7.62</v>
      </c>
      <c r="AB11" s="4">
        <v>7</v>
      </c>
      <c r="AC11" s="4">
        <v>6.64</v>
      </c>
      <c r="AD11" s="4">
        <v>6.45</v>
      </c>
      <c r="AE11" s="4">
        <v>6.19</v>
      </c>
      <c r="AF11" s="4">
        <v>6.17</v>
      </c>
      <c r="AG11" s="4">
        <v>5.7</v>
      </c>
      <c r="AH11" s="4">
        <v>5.54</v>
      </c>
      <c r="AI11" s="4">
        <v>5.9</v>
      </c>
      <c r="AJ11" s="4">
        <v>5.46</v>
      </c>
      <c r="AK11" s="4">
        <v>5.52</v>
      </c>
      <c r="AL11" s="4">
        <v>6.03</v>
      </c>
      <c r="AM11" s="4">
        <v>5.68</v>
      </c>
      <c r="AN11" s="4">
        <v>5.83</v>
      </c>
      <c r="AO11" s="4">
        <v>6.02</v>
      </c>
      <c r="AP11" s="4">
        <v>6.15</v>
      </c>
      <c r="AQ11" s="4">
        <v>6.05</v>
      </c>
      <c r="AR11" s="4">
        <v>5.57</v>
      </c>
      <c r="AS11" s="4">
        <v>5.69</v>
      </c>
      <c r="AT11" s="4">
        <v>6</v>
      </c>
      <c r="AU11" s="4">
        <v>5.8250000000000002</v>
      </c>
      <c r="AV11" s="4">
        <v>5.53</v>
      </c>
      <c r="AW11" s="4">
        <v>5.32</v>
      </c>
      <c r="AX11" s="4">
        <v>5.69</v>
      </c>
      <c r="AY11" s="12">
        <v>6.5</v>
      </c>
      <c r="AZ11" s="12">
        <v>6.31</v>
      </c>
      <c r="BA11" s="12">
        <v>6.12</v>
      </c>
      <c r="BB11" s="18">
        <v>5.32</v>
      </c>
      <c r="BC11" s="63">
        <v>5.4</v>
      </c>
      <c r="BD11" s="63">
        <v>5.3</v>
      </c>
      <c r="BE11" s="63">
        <v>5.4</v>
      </c>
      <c r="BF11" s="63">
        <v>5.47</v>
      </c>
      <c r="BG11" s="91" cm="1">
        <f t="array" aca="1" ref="BG11" ca="1">_FV(EE11,"Preço")</f>
        <v>5.07</v>
      </c>
      <c r="BH11" s="93" t="s">
        <v>9</v>
      </c>
      <c r="BI11" s="32" cm="1">
        <f t="array" aca="1" ref="BI11" ca="1">_FV(EE11,"Beta")</f>
        <v>0.95630000000000004</v>
      </c>
      <c r="BJ11" s="96" cm="1">
        <f t="array" aca="1" ref="BJ11" ca="1">_FV(EE11,"Variação (%)",TRUE)</f>
        <v>0</v>
      </c>
      <c r="BK11" s="49"/>
      <c r="BL11" s="49"/>
      <c r="BN11" s="32"/>
      <c r="BO11" s="20" cm="1">
        <f t="array" aca="1" ref="BO11" ca="1">_FV(EE11,"Baixo")</f>
        <v>5.03</v>
      </c>
      <c r="BP11" s="20" cm="1">
        <f t="array" aca="1" ref="BP11" ca="1">_FV(EE11,"Alto")</f>
        <v>5.1100000000000003</v>
      </c>
      <c r="BQ11" s="32"/>
      <c r="BR11" s="74">
        <f ca="1">SQRT(22.5*(BG11/VLOOKUP(BH11,Fundamentus!A:U,3,FALSE))*(BG11/VLOOKUP(BH11,Fundamentus!A:U,4,FALSE)))</f>
        <v>13.029253241025959</v>
      </c>
      <c r="BT11" s="73">
        <f t="shared" ca="1" si="0"/>
        <v>-7.3126142595977967E-2</v>
      </c>
      <c r="BU11" s="36">
        <f t="shared" si="1"/>
        <v>-0.28759894459102897</v>
      </c>
      <c r="BV11" s="8"/>
      <c r="BW11" s="72">
        <f t="shared" si="2"/>
        <v>5.3</v>
      </c>
      <c r="BX11" s="72">
        <f t="shared" si="3"/>
        <v>6.4816379310344789</v>
      </c>
      <c r="BY11" s="72">
        <f t="shared" si="4"/>
        <v>8.1199999999999992</v>
      </c>
      <c r="BZ11" s="17"/>
      <c r="CA11" s="17"/>
      <c r="CB11" s="43">
        <f t="shared" si="5"/>
        <v>5.3430582735141705</v>
      </c>
      <c r="CC11" s="18">
        <f t="shared" si="6"/>
        <v>5.4641986879100273</v>
      </c>
      <c r="CD11" s="43">
        <f t="shared" si="7"/>
        <v>5.585339102305884</v>
      </c>
      <c r="CE11" s="98">
        <f t="shared" ca="1" si="8"/>
        <v>-3.2540642185842592</v>
      </c>
      <c r="CF11" s="17"/>
      <c r="CG11" s="20">
        <f t="shared" si="9"/>
        <v>1.6533333333333333</v>
      </c>
      <c r="CH11" s="20">
        <f t="shared" si="10"/>
        <v>3.4766666666666666</v>
      </c>
      <c r="CI11" s="20">
        <f t="shared" si="11"/>
        <v>4.4733333333333327</v>
      </c>
      <c r="CJ11" s="49">
        <f t="shared" si="12"/>
        <v>6.296666666666666</v>
      </c>
      <c r="CK11" s="20">
        <f t="shared" si="13"/>
        <v>7.2933333333333321</v>
      </c>
      <c r="CL11" s="20">
        <f t="shared" si="14"/>
        <v>9.1166666666666654</v>
      </c>
      <c r="CM11" s="20">
        <f t="shared" si="15"/>
        <v>10.113333333333332</v>
      </c>
      <c r="CN11" s="2" cm="1">
        <f t="array" aca="1" ref="CN11" ca="1">MAX(_xlfn._xlws.FILTER(CG11:CM11,CG11:CM11&lt;BG11))</f>
        <v>4.4733333333333327</v>
      </c>
      <c r="CO11" s="2" cm="1">
        <f t="array" aca="1" ref="CO11" ca="1">MIN(_xlfn._xlws.FILTER($CG11:$CM11,$CG11:$CM11&gt;BG11))</f>
        <v>6.296666666666666</v>
      </c>
      <c r="CP11" s="19">
        <f t="shared" ca="1" si="33"/>
        <v>0.40760059612518629</v>
      </c>
      <c r="CQ11" s="23">
        <f t="shared" ca="1" si="34"/>
        <v>-0.20380029806259314</v>
      </c>
      <c r="CR11" s="23">
        <f t="shared" ca="1" si="35"/>
        <v>-0.1358668653750621</v>
      </c>
      <c r="CS11" s="23">
        <f t="shared" ca="1" si="36"/>
        <v>-8.1520119225037255E-2</v>
      </c>
      <c r="CT11" s="23">
        <f t="shared" ca="1" si="37"/>
        <v>-4.5288955125020701E-2</v>
      </c>
      <c r="CU11" s="23">
        <f t="shared" ca="1" si="42"/>
        <v>-2.3976505654422723E-2</v>
      </c>
      <c r="CV11" s="23">
        <f t="shared" ca="1" si="43"/>
        <v>-1.2351533215914735E-2</v>
      </c>
      <c r="CW11" s="23">
        <f t="shared" ca="1" si="44"/>
        <v>-6.2707784019259425E-3</v>
      </c>
      <c r="CX11" s="24">
        <f t="shared" ca="1" si="45"/>
        <v>6.2707784019259425E-3</v>
      </c>
      <c r="CY11" s="24">
        <f t="shared" ca="1" si="46"/>
        <v>1.2351533215914735E-2</v>
      </c>
      <c r="CZ11" s="24">
        <f t="shared" ca="1" si="47"/>
        <v>2.3976505654422723E-2</v>
      </c>
      <c r="DA11" s="24">
        <f t="shared" ca="1" si="38"/>
        <v>4.5288955125020701E-2</v>
      </c>
      <c r="DB11" s="24">
        <f t="shared" ca="1" si="39"/>
        <v>8.1520119225037255E-2</v>
      </c>
      <c r="DC11" s="24">
        <f t="shared" ca="1" si="40"/>
        <v>0.1358668653750621</v>
      </c>
      <c r="DD11" s="24">
        <f t="shared" ca="1" si="41"/>
        <v>0.20380029806259314</v>
      </c>
      <c r="DF11" s="19" cm="1">
        <f t="array" aca="1" ref="DF11" ca="1">MAX(_xlfn._xlws.FILTER(CQ11:DD11,CQ11:DD11&lt;BJ11))</f>
        <v>-6.2707784019259425E-3</v>
      </c>
      <c r="DG11" s="19" cm="1">
        <f t="array" aca="1" ref="DG11" ca="1">MIN(_xlfn._xlws.FILTER(CQ11:DD11,CQ11:DD11&gt;BJ11))</f>
        <v>6.2707784019259425E-3</v>
      </c>
      <c r="DH11" s="2" cm="1">
        <f t="array" aca="1" ref="DH11" ca="1">_FV(EE11,"Fechamento anterior",TRUE)</f>
        <v>5.07</v>
      </c>
      <c r="DI11" s="36">
        <f t="shared" ca="1" si="22"/>
        <v>0.5</v>
      </c>
      <c r="DJ11" s="18">
        <f t="shared" ca="1" si="23"/>
        <v>5.0382071535022357</v>
      </c>
      <c r="DK11" s="18">
        <f t="shared" ca="1" si="24"/>
        <v>5.1017928464977649</v>
      </c>
      <c r="DL11" s="9"/>
      <c r="DM11" s="9"/>
      <c r="DN11" s="9"/>
      <c r="DO11" s="9"/>
      <c r="DP11" s="79">
        <v>1.1435318977036139E-2</v>
      </c>
      <c r="DQ11" s="79">
        <v>6.0672979333266409E-3</v>
      </c>
      <c r="DR11" s="79">
        <v>6.0672979333266409E-3</v>
      </c>
      <c r="DS11" s="79">
        <f t="shared" ca="1" si="25"/>
        <v>1.2541556803851885E-2</v>
      </c>
      <c r="DT11" s="47"/>
      <c r="DU11" s="43">
        <f t="shared" si="26"/>
        <v>6.0570207197928598E-2</v>
      </c>
      <c r="DV11" s="83">
        <f t="shared" ca="1" si="27"/>
        <v>1.3824000000000001</v>
      </c>
      <c r="DW11" s="83">
        <f t="shared" ca="1" si="28"/>
        <v>0.95630000000000004</v>
      </c>
      <c r="DX11" s="83">
        <f t="shared" ca="1" si="29"/>
        <v>0.42610000000000003</v>
      </c>
      <c r="DY11" s="67"/>
      <c r="DZ11" s="67"/>
      <c r="EA11" s="85"/>
      <c r="EB11" s="44">
        <v>41700</v>
      </c>
      <c r="EC11" s="44" cm="1">
        <f t="array" aca="1" ref="EC11" ca="1">_FV(EE11,"Volume")</f>
        <v>41500</v>
      </c>
      <c r="EE11" s="2" t="e" vm="11">
        <v>#VALUE!</v>
      </c>
      <c r="EG11" s="10" cm="1">
        <f t="array" aca="1" ref="EG11" ca="1">_FV(EE11,"Ações em circulação",TRUE)</f>
        <v>50602840</v>
      </c>
      <c r="EH11" s="21">
        <f>VLOOKUP(BH11,Fundamentus!A:U,5,FALSE)</f>
        <v>0.122</v>
      </c>
      <c r="EI11" s="2">
        <f t="shared" ca="1" si="30"/>
        <v>2102921301.6393445</v>
      </c>
      <c r="EJ11" s="20">
        <v>25184038.002295081</v>
      </c>
      <c r="EK11" s="20">
        <f t="shared" ca="1" si="31"/>
        <v>23342426.448196724</v>
      </c>
      <c r="EM11" s="40" t="str">
        <f>IF(VLOOKUP(BH11,Fundamentus!A:U,3,FALSE)&lt;15,"Bom",IF(VLOOKUP(BH11,Fundamentus!A:U,3,FALSE)&gt;15,"Ruim","n/a"))</f>
        <v>Bom</v>
      </c>
      <c r="EN11" s="36" t="str">
        <f>IF(VLOOKUP(BH11,Fundamentus!A:U,4,FALSE)&lt;1,"Baixo",IF(VLOOKUP(BH11,Fundamentus!A:U,4,FALSE)&lt;1.5,"Moderado",IF(VLOOKUP(BH11,Fundamentus!A:U,4,FALSE)&gt;1.5,"Alto","n/a")))</f>
        <v>Baixo</v>
      </c>
      <c r="EO11" s="20" t="str">
        <f>IF(VLOOKUP(BH11,Fundamentus!A:U,8,FALSE)&lt;0,"Risco elevado",IF(VLOOKUP(BH11,Fundamentus!A:U,8,FALSE)&lt;1,"Saudável",IF(VLOOKUP(BH11,Fundamentus!A:U,8,FALSE)&lt;3,"Estável",IF(VLOOKUP(BH11,Fundamentus!A:U,8,FALSE)&gt;3,"Alerta","n/a"))))</f>
        <v>Alerta</v>
      </c>
      <c r="EP11" s="36" t="str">
        <f t="shared" si="32"/>
        <v>Ruim</v>
      </c>
      <c r="EQ11" s="20" t="str">
        <f>IF(VLOOKUP(BH11,Fundamentus!A:U,12,FALSE)&lt;2,"Subvalorizada",IF(VLOOKUP(BH11,Fundamentus!A:U,12,FALSE)&lt;6,"Muita barata",IF(VLOOKUP(BH11,Fundamentus!A:U,12,FALSE)&lt;6,"Barata",IF(VLOOKUP(BH11,Fundamentus!A:U,12,FALSE)&lt;8,"Atrativa",IF(VLOOKUP(BH11,Fundamentus!A:U,12,FALSE)&gt;8,"Supervalorizada","n/a")))))</f>
        <v>Subvalorizada</v>
      </c>
      <c r="ES11" s="20" t="str">
        <f>IF(VLOOKUP(BH11,Fundamentus!A:U,17,FALSE)&lt;0.1,"Fraco retorno",IF(VLOOKUP(BH11,Fundamentus!A:U,17,FALSE)&gt;0.1,"Bom retorno","n/a"))</f>
        <v>Fraco retorno</v>
      </c>
      <c r="ET11" s="20" t="str">
        <f>IF(VLOOKUP(BH11,Fundamentus!A:U,16,FALSE)&lt;0.1,"Ineficiente",IF(VLOOKUP(BH11,Fundamentus!A:U,16,FALSE)&gt;0.1,"Eficiente","n/a"))</f>
        <v>Ineficiente</v>
      </c>
      <c r="EU11" s="41" t="str">
        <f>IF(VLOOKUP(BH11,Fundamentus!A:U,16,FALSE)&lt;0.1,"Oper. Ineficiente",IF(VLOOKUP(BH11,Fundamentus!A:U,16,FALSE)&gt;0.1,"Oper.Eficiente","n/a"))</f>
        <v>Oper. Ineficiente</v>
      </c>
      <c r="EV11" s="42">
        <f>VLOOKUP(BH11,Fundamentus!A:U,14,FALSE)</f>
        <v>1.11E-2</v>
      </c>
      <c r="EW11" s="20" t="str">
        <f>IF(VLOOKUP(BH11,Fundamentus!A:U,21,FALSE)&lt;0,"Negativo",IF(VLOOKUP(BH11,Fundamentus!A:U,21,FALSE)&lt;0.05,"Fraco",IF(VLOOKUP(BH11,Fundamentus!A:U,21,FALSE)&lt;0.1,"Bom",IF(VLOOKUP(BH11,Fundamentus!A:U,21,FALSE)&gt;0.1,"Muito bom","n/a"))))</f>
        <v>Muito bom</v>
      </c>
      <c r="EY11" s="37" t="str">
        <f>IF(VLOOKUP(BH11,Fundamentus!A:U,15,FALSE)&gt;1,"Bom",IF(VLOOKUP(BH11,Fundamentus!A:U,15,FALSE)&lt;1,"Ruim","n/a"))</f>
        <v>Bom</v>
      </c>
      <c r="EZ11" s="20" t="str">
        <f>IF(VLOOKUP(BH11,Fundamentus!A:U,20,FALSE)&lt;0.5,"Baixa",IF(VLOOKUP(BH11,Fundamentus!A:U,20,FALSE)&lt;1,"Moderada",IF(VLOOKUP(BH11,Fundamentus!A:U,20,FALSE)&lt;2,"Alerta",IF(VLOOKUP(BH11,Fundamentus!A:U,20,FALSE)&gt;2,"Alta","n/a"))))</f>
        <v>Baixa</v>
      </c>
    </row>
    <row r="12" spans="1:156" s="2" customFormat="1" ht="11.25" hidden="1" x14ac:dyDescent="0.2">
      <c r="A12" s="4">
        <v>18.309999999999999</v>
      </c>
      <c r="B12" s="4">
        <v>18.5</v>
      </c>
      <c r="C12" s="4">
        <v>18.41</v>
      </c>
      <c r="D12" s="4">
        <v>18.29</v>
      </c>
      <c r="E12" s="4">
        <v>17.84</v>
      </c>
      <c r="F12" s="4">
        <v>17.25</v>
      </c>
      <c r="G12" s="4">
        <v>17.63</v>
      </c>
      <c r="H12" s="4">
        <v>17.46</v>
      </c>
      <c r="I12" s="4">
        <v>17.47</v>
      </c>
      <c r="J12" s="4">
        <v>18.8</v>
      </c>
      <c r="K12" s="4">
        <v>19.11</v>
      </c>
      <c r="L12" s="4">
        <v>19.350000000000001</v>
      </c>
      <c r="M12" s="4">
        <v>18.32</v>
      </c>
      <c r="N12" s="4">
        <v>17.739999999999998</v>
      </c>
      <c r="O12" s="4">
        <v>18.37</v>
      </c>
      <c r="P12" s="4">
        <v>17.72</v>
      </c>
      <c r="Q12" s="4">
        <v>17.899999999999999</v>
      </c>
      <c r="R12" s="4">
        <v>17.66</v>
      </c>
      <c r="S12" s="4">
        <v>17.36</v>
      </c>
      <c r="T12" s="4">
        <v>17.21</v>
      </c>
      <c r="U12" s="4">
        <v>17</v>
      </c>
      <c r="V12" s="4">
        <v>18.66</v>
      </c>
      <c r="W12" s="4">
        <v>17.93</v>
      </c>
      <c r="X12" s="4">
        <v>17.100000000000001</v>
      </c>
      <c r="Y12" s="4">
        <v>17.260000000000002</v>
      </c>
      <c r="Z12" s="4">
        <v>17.22</v>
      </c>
      <c r="AA12" s="4">
        <v>17.3</v>
      </c>
      <c r="AB12" s="4">
        <v>17.350000000000001</v>
      </c>
      <c r="AC12" s="4">
        <v>16.98</v>
      </c>
      <c r="AD12" s="4">
        <v>16.84</v>
      </c>
      <c r="AE12" s="4">
        <v>17.41</v>
      </c>
      <c r="AF12" s="4">
        <v>18.57</v>
      </c>
      <c r="AG12" s="4">
        <v>19.170000000000002</v>
      </c>
      <c r="AH12" s="4">
        <v>17.93</v>
      </c>
      <c r="AI12" s="4">
        <v>17.68</v>
      </c>
      <c r="AJ12" s="4">
        <v>17.02</v>
      </c>
      <c r="AK12" s="4">
        <v>17.190000000000001</v>
      </c>
      <c r="AL12" s="4">
        <v>18.010000000000002</v>
      </c>
      <c r="AM12" s="4">
        <v>17.829999999999998</v>
      </c>
      <c r="AN12" s="4">
        <v>17.36</v>
      </c>
      <c r="AO12" s="4">
        <v>18.16</v>
      </c>
      <c r="AP12" s="4">
        <v>18.829999999999998</v>
      </c>
      <c r="AQ12" s="4">
        <v>18.34</v>
      </c>
      <c r="AR12" s="4">
        <v>18.04</v>
      </c>
      <c r="AS12" s="4">
        <v>19.18</v>
      </c>
      <c r="AT12" s="4">
        <v>18.62</v>
      </c>
      <c r="AU12" s="4">
        <v>18.664999999999999</v>
      </c>
      <c r="AV12" s="4">
        <v>18.43</v>
      </c>
      <c r="AW12" s="4">
        <v>18.53</v>
      </c>
      <c r="AX12" s="4">
        <v>20.12</v>
      </c>
      <c r="AY12" s="12">
        <v>20.149999999999999</v>
      </c>
      <c r="AZ12" s="12">
        <v>20.010000000000002</v>
      </c>
      <c r="BA12" s="12">
        <v>19.79</v>
      </c>
      <c r="BB12" s="18">
        <v>19.329999999999998</v>
      </c>
      <c r="BC12" s="63">
        <v>19.04</v>
      </c>
      <c r="BD12" s="63">
        <v>18.88</v>
      </c>
      <c r="BE12" s="63">
        <v>18.89</v>
      </c>
      <c r="BF12" s="63">
        <v>18.91</v>
      </c>
      <c r="BG12" s="91" cm="1">
        <f t="array" aca="1" ref="BG12" ca="1">_FV(EE12,"Preço")</f>
        <v>18.489999999999998</v>
      </c>
      <c r="BH12" s="93" t="s">
        <v>10</v>
      </c>
      <c r="BI12" s="32" cm="1">
        <f t="array" aca="1" ref="BI12" ca="1">_FV(EE12,"Beta")</f>
        <v>0.46129999999999999</v>
      </c>
      <c r="BJ12" s="96" cm="1">
        <f t="array" aca="1" ref="BJ12" ca="1">_FV(EE12,"Variação (%)",TRUE)</f>
        <v>5.4379999999999993E-3</v>
      </c>
      <c r="BK12" s="49"/>
      <c r="BL12" s="49"/>
      <c r="BN12" s="32"/>
      <c r="BO12" s="20" cm="1">
        <f t="array" aca="1" ref="BO12" ca="1">_FV(EE12,"Baixo")</f>
        <v>18.309999999999999</v>
      </c>
      <c r="BP12" s="20" cm="1">
        <f t="array" aca="1" ref="BP12" ca="1">_FV(EE12,"Alto")</f>
        <v>18.66</v>
      </c>
      <c r="BQ12" s="32"/>
      <c r="BR12" s="74">
        <f ca="1">SQRT(22.5*(BG12/VLOOKUP(BH12,Fundamentus!A:U,3,FALSE))*(BG12/VLOOKUP(BH12,Fundamentus!A:U,4,FALSE)))</f>
        <v>19.920580445568753</v>
      </c>
      <c r="BT12" s="73">
        <f t="shared" ca="1" si="0"/>
        <v>-2.2210470650449586E-2</v>
      </c>
      <c r="BU12" s="36">
        <f t="shared" si="1"/>
        <v>3.167667941015849E-2</v>
      </c>
      <c r="BV12" s="8"/>
      <c r="BW12" s="72">
        <f t="shared" si="2"/>
        <v>16.84</v>
      </c>
      <c r="BX12" s="72">
        <f t="shared" si="3"/>
        <v>18.179741379310343</v>
      </c>
      <c r="BY12" s="72">
        <f t="shared" si="4"/>
        <v>20.149999999999999</v>
      </c>
      <c r="BZ12" s="17"/>
      <c r="CA12" s="17"/>
      <c r="CB12" s="43">
        <f t="shared" si="5"/>
        <v>18.705338956500317</v>
      </c>
      <c r="CC12" s="18">
        <f t="shared" si="6"/>
        <v>18.834179943767566</v>
      </c>
      <c r="CD12" s="43">
        <f t="shared" si="7"/>
        <v>18.963020931034816</v>
      </c>
      <c r="CE12" s="98">
        <f t="shared" ca="1" si="8"/>
        <v>-2.6713544429277722</v>
      </c>
      <c r="CF12" s="17"/>
      <c r="CG12" s="20">
        <f t="shared" si="9"/>
        <v>13.806666666666661</v>
      </c>
      <c r="CH12" s="20">
        <f t="shared" si="10"/>
        <v>15.323333333333331</v>
      </c>
      <c r="CI12" s="20">
        <f t="shared" si="11"/>
        <v>17.11666666666666</v>
      </c>
      <c r="CJ12" s="49">
        <f t="shared" si="12"/>
        <v>18.633333333333329</v>
      </c>
      <c r="CK12" s="20">
        <f t="shared" si="13"/>
        <v>20.426666666666659</v>
      </c>
      <c r="CL12" s="20">
        <f t="shared" si="14"/>
        <v>21.943333333333328</v>
      </c>
      <c r="CM12" s="20">
        <f t="shared" si="15"/>
        <v>23.736666666666657</v>
      </c>
      <c r="CN12" s="2" cm="1">
        <f t="array" aca="1" ref="CN12" ca="1">MAX(_xlfn._xlws.FILTER(CG12:CM12,CG12:CM12&lt;BG12))</f>
        <v>17.11666666666666</v>
      </c>
      <c r="CO12" s="2" cm="1">
        <f t="array" aca="1" ref="CO12" ca="1">MIN(_xlfn._xlws.FILTER($CG12:$CM12,$CG12:$CM12&gt;BG12))</f>
        <v>18.633333333333329</v>
      </c>
      <c r="CP12" s="19">
        <f t="shared" ca="1" si="33"/>
        <v>8.8607594936709111E-2</v>
      </c>
      <c r="CQ12" s="23">
        <f t="shared" ca="1" si="34"/>
        <v>-4.4303797468354555E-2</v>
      </c>
      <c r="CR12" s="23">
        <f t="shared" ca="1" si="35"/>
        <v>-2.9535864978903037E-2</v>
      </c>
      <c r="CS12" s="23">
        <f t="shared" ca="1" si="36"/>
        <v>-1.7721518987341821E-2</v>
      </c>
      <c r="CT12" s="23">
        <f t="shared" ca="1" si="37"/>
        <v>-9.8452883263010129E-3</v>
      </c>
      <c r="CU12" s="23">
        <f t="shared" ca="1" si="42"/>
        <v>-5.2122114668652422E-3</v>
      </c>
      <c r="CV12" s="23">
        <f t="shared" ca="1" si="43"/>
        <v>-2.6850786344457308E-3</v>
      </c>
      <c r="CW12" s="23">
        <f t="shared" ca="1" si="44"/>
        <v>-1.3631937682570632E-3</v>
      </c>
      <c r="CX12" s="24">
        <f t="shared" ca="1" si="45"/>
        <v>1.3631937682570632E-3</v>
      </c>
      <c r="CY12" s="24">
        <f t="shared" ca="1" si="46"/>
        <v>2.6850786344457308E-3</v>
      </c>
      <c r="CZ12" s="24">
        <f t="shared" ca="1" si="47"/>
        <v>5.2122114668652422E-3</v>
      </c>
      <c r="DA12" s="24">
        <f t="shared" ca="1" si="38"/>
        <v>9.8452883263010129E-3</v>
      </c>
      <c r="DB12" s="24">
        <f t="shared" ca="1" si="39"/>
        <v>1.7721518987341821E-2</v>
      </c>
      <c r="DC12" s="24">
        <f t="shared" ca="1" si="40"/>
        <v>2.9535864978903037E-2</v>
      </c>
      <c r="DD12" s="24">
        <f t="shared" ca="1" si="41"/>
        <v>4.4303797468354555E-2</v>
      </c>
      <c r="DF12" s="19" cm="1">
        <f t="array" aca="1" ref="DF12" ca="1">MAX(_xlfn._xlws.FILTER(CQ12:DD12,CQ12:DD12&lt;BJ12))</f>
        <v>5.2122114668652422E-3</v>
      </c>
      <c r="DG12" s="19" cm="1">
        <f t="array" aca="1" ref="DG12" ca="1">MIN(_xlfn._xlws.FILTER(CQ12:DD12,CQ12:DD12&gt;BJ12))</f>
        <v>9.8452883263010129E-3</v>
      </c>
      <c r="DH12" s="2" cm="1">
        <f t="array" aca="1" ref="DH12" ca="1">_FV(EE12,"Fechamento anterior",TRUE)</f>
        <v>18.39</v>
      </c>
      <c r="DI12" s="36">
        <f t="shared" ca="1" si="22"/>
        <v>4.8677464460456968E-2</v>
      </c>
      <c r="DJ12" s="18">
        <f t="shared" ca="1" si="23"/>
        <v>18.485852568875654</v>
      </c>
      <c r="DK12" s="18">
        <f t="shared" ca="1" si="24"/>
        <v>18.571054852320675</v>
      </c>
      <c r="DL12" s="9"/>
      <c r="DM12" s="9"/>
      <c r="DN12" s="9"/>
      <c r="DO12" s="9"/>
      <c r="DP12" s="79">
        <v>1.1525015069318884E-2</v>
      </c>
      <c r="DQ12" s="79">
        <v>1.1525015069318884E-2</v>
      </c>
      <c r="DR12" s="79">
        <v>2.4652438650949481E-3</v>
      </c>
      <c r="DS12" s="79">
        <f t="shared" ca="1" si="25"/>
        <v>4.6330768594357707E-3</v>
      </c>
      <c r="DT12" s="47"/>
      <c r="DU12" s="43">
        <f t="shared" si="26"/>
        <v>6.4420493633625356E-2</v>
      </c>
      <c r="DV12" s="83">
        <f t="shared" ca="1" si="27"/>
        <v>0.88739999999999997</v>
      </c>
      <c r="DW12" s="83">
        <f t="shared" ca="1" si="28"/>
        <v>-8.2499999999999962E-2</v>
      </c>
      <c r="DX12" s="83">
        <f t="shared" ca="1" si="29"/>
        <v>0.96989999999999998</v>
      </c>
      <c r="DY12" s="67"/>
      <c r="DZ12" s="67"/>
      <c r="EA12" s="85"/>
      <c r="EB12" s="44">
        <v>1369300</v>
      </c>
      <c r="EC12" s="44" cm="1">
        <f t="array" aca="1" ref="EC12" ca="1">_FV(EE12,"Volume")</f>
        <v>1807600</v>
      </c>
      <c r="EE12" s="2" t="e" vm="12">
        <v>#VALUE!</v>
      </c>
      <c r="EG12" s="10" cm="1">
        <f t="array" aca="1" ref="EG12" ca="1">_FV(EE12,"Ações em circulação",TRUE)</f>
        <v>443329700</v>
      </c>
      <c r="EH12" s="21">
        <f>VLOOKUP(BH12,Fundamentus!A:U,5,FALSE)</f>
        <v>0.97499999999999998</v>
      </c>
      <c r="EI12" s="2">
        <f t="shared" ca="1" si="30"/>
        <v>8407349900.5128193</v>
      </c>
      <c r="EJ12" s="20">
        <v>759231893.91189742</v>
      </c>
      <c r="EK12" s="20">
        <f t="shared" ca="1" si="31"/>
        <v>742368996.21528196</v>
      </c>
      <c r="EM12" s="40" t="str">
        <f>IF(VLOOKUP(BH12,Fundamentus!A:U,3,FALSE)&lt;15,"Bom",IF(VLOOKUP(BH12,Fundamentus!A:U,3,FALSE)&gt;15,"Ruim","n/a"))</f>
        <v>Bom</v>
      </c>
      <c r="EN12" s="36" t="str">
        <f>IF(VLOOKUP(BH12,Fundamentus!A:U,4,FALSE)&lt;1,"Baixo",IF(VLOOKUP(BH12,Fundamentus!A:U,4,FALSE)&lt;1.5,"Moderado",IF(VLOOKUP(BH12,Fundamentus!A:U,4,FALSE)&gt;1.5,"Alto","n/a")))</f>
        <v>Alto</v>
      </c>
      <c r="EO12" s="20" t="str">
        <f>IF(VLOOKUP(BH12,Fundamentus!A:U,8,FALSE)&lt;0,"Risco elevado",IF(VLOOKUP(BH12,Fundamentus!A:U,8,FALSE)&lt;1,"Saudável",IF(VLOOKUP(BH12,Fundamentus!A:U,8,FALSE)&lt;3,"Estável",IF(VLOOKUP(BH12,Fundamentus!A:U,8,FALSE)&gt;3,"Alerta","n/a"))))</f>
        <v>Alerta</v>
      </c>
      <c r="EP12" s="36" t="str">
        <f t="shared" si="32"/>
        <v>Ruim</v>
      </c>
      <c r="EQ12" s="20" t="str">
        <f>IF(VLOOKUP(BH12,Fundamentus!A:U,12,FALSE)&lt;2,"Subvalorizada",IF(VLOOKUP(BH12,Fundamentus!A:U,12,FALSE)&lt;6,"Muita barata",IF(VLOOKUP(BH12,Fundamentus!A:U,12,FALSE)&lt;6,"Barata",IF(VLOOKUP(BH12,Fundamentus!A:U,12,FALSE)&lt;8,"Atrativa",IF(VLOOKUP(BH12,Fundamentus!A:U,12,FALSE)&gt;8,"Supervalorizada","n/a")))))</f>
        <v>Atrativa</v>
      </c>
      <c r="ES12" s="20" t="str">
        <f>IF(VLOOKUP(BH12,Fundamentus!A:U,17,FALSE)&lt;0.1,"Fraco retorno",IF(VLOOKUP(BH12,Fundamentus!A:U,17,FALSE)&gt;0.1,"Bom retorno","n/a"))</f>
        <v>Bom retorno</v>
      </c>
      <c r="ET12" s="20" t="str">
        <f>IF(VLOOKUP(BH12,Fundamentus!A:U,16,FALSE)&lt;0.1,"Ineficiente",IF(VLOOKUP(BH12,Fundamentus!A:U,16,FALSE)&gt;0.1,"Eficiente","n/a"))</f>
        <v>Eficiente</v>
      </c>
      <c r="EU12" s="41" t="str">
        <f>IF(VLOOKUP(BH12,Fundamentus!A:U,16,FALSE)&lt;0.1,"Oper. Ineficiente",IF(VLOOKUP(BH12,Fundamentus!A:U,16,FALSE)&gt;0.1,"Oper.Eficiente","n/a"))</f>
        <v>Oper.Eficiente</v>
      </c>
      <c r="EV12" s="42">
        <f>VLOOKUP(BH12,Fundamentus!A:U,14,FALSE)</f>
        <v>8.8300000000000003E-2</v>
      </c>
      <c r="EW12" s="20" t="str">
        <f>IF(VLOOKUP(BH12,Fundamentus!A:U,21,FALSE)&lt;0,"Negativo",IF(VLOOKUP(BH12,Fundamentus!A:U,21,FALSE)&lt;0.05,"Fraco",IF(VLOOKUP(BH12,Fundamentus!A:U,21,FALSE)&lt;0.1,"Bom",IF(VLOOKUP(BH12,Fundamentus!A:U,21,FALSE)&gt;0.1,"Muito bom","n/a"))))</f>
        <v>Muito bom</v>
      </c>
      <c r="EY12" s="37" t="str">
        <f>IF(VLOOKUP(BH12,Fundamentus!A:U,15,FALSE)&gt;1,"Bom",IF(VLOOKUP(BH12,Fundamentus!A:U,15,FALSE)&lt;1,"Ruim","n/a"))</f>
        <v>Bom</v>
      </c>
      <c r="EZ12" s="20" t="str">
        <f>IF(VLOOKUP(BH12,Fundamentus!A:U,20,FALSE)&lt;0.5,"Baixa",IF(VLOOKUP(BH12,Fundamentus!A:U,20,FALSE)&lt;1,"Moderada",IF(VLOOKUP(BH12,Fundamentus!A:U,20,FALSE)&lt;2,"Alerta",IF(VLOOKUP(BH12,Fundamentus!A:U,20,FALSE)&gt;2,"Alta","n/a"))))</f>
        <v>Alerta</v>
      </c>
    </row>
    <row r="13" spans="1:156" s="2" customFormat="1" ht="11.25" hidden="1" x14ac:dyDescent="0.2">
      <c r="A13" s="4">
        <v>6.75</v>
      </c>
      <c r="B13" s="4">
        <v>6.79</v>
      </c>
      <c r="C13" s="4">
        <v>6.63</v>
      </c>
      <c r="D13" s="4">
        <v>6.29</v>
      </c>
      <c r="E13" s="4">
        <v>6.15</v>
      </c>
      <c r="F13" s="4">
        <v>6.5</v>
      </c>
      <c r="G13" s="4">
        <v>6.52</v>
      </c>
      <c r="H13" s="4">
        <v>6.5</v>
      </c>
      <c r="I13" s="4">
        <v>6.46</v>
      </c>
      <c r="J13" s="4">
        <v>6.6</v>
      </c>
      <c r="K13" s="4">
        <v>6.75</v>
      </c>
      <c r="L13" s="4">
        <v>6.42</v>
      </c>
      <c r="M13" s="4">
        <v>6.6</v>
      </c>
      <c r="N13" s="4">
        <v>6.47</v>
      </c>
      <c r="O13" s="4">
        <v>6.7</v>
      </c>
      <c r="P13" s="4">
        <v>6.64</v>
      </c>
      <c r="Q13" s="4">
        <v>6.28</v>
      </c>
      <c r="R13" s="4">
        <v>6.47</v>
      </c>
      <c r="S13" s="4">
        <v>6.9</v>
      </c>
      <c r="T13" s="4">
        <v>7</v>
      </c>
      <c r="U13" s="4">
        <v>6.78</v>
      </c>
      <c r="V13" s="4">
        <v>6.78</v>
      </c>
      <c r="W13" s="4">
        <v>6.99</v>
      </c>
      <c r="X13" s="4">
        <v>6.85</v>
      </c>
      <c r="Y13" s="4">
        <v>6.45</v>
      </c>
      <c r="Z13" s="4">
        <v>6.37</v>
      </c>
      <c r="AA13" s="4">
        <v>5.98</v>
      </c>
      <c r="AB13" s="4">
        <v>6.16</v>
      </c>
      <c r="AC13" s="4">
        <v>6.15</v>
      </c>
      <c r="AD13" s="4">
        <v>6.08</v>
      </c>
      <c r="AE13" s="4">
        <v>5.52</v>
      </c>
      <c r="AF13" s="4">
        <v>5.56</v>
      </c>
      <c r="AG13" s="4">
        <v>5.59</v>
      </c>
      <c r="AH13" s="4">
        <v>5.36</v>
      </c>
      <c r="AI13" s="4">
        <v>5.35</v>
      </c>
      <c r="AJ13" s="4">
        <v>5.27</v>
      </c>
      <c r="AK13" s="4">
        <v>5.26</v>
      </c>
      <c r="AL13" s="4">
        <v>5.05</v>
      </c>
      <c r="AM13" s="4">
        <v>5.6</v>
      </c>
      <c r="AN13" s="4">
        <v>5.5</v>
      </c>
      <c r="AO13" s="4">
        <v>5.31</v>
      </c>
      <c r="AP13" s="4">
        <v>5.76</v>
      </c>
      <c r="AQ13" s="4">
        <v>5.68</v>
      </c>
      <c r="AR13" s="4">
        <v>5.51</v>
      </c>
      <c r="AS13" s="4">
        <v>5.51</v>
      </c>
      <c r="AT13" s="4">
        <v>5.4</v>
      </c>
      <c r="AU13" s="4">
        <v>5.68</v>
      </c>
      <c r="AV13" s="4">
        <v>5.69</v>
      </c>
      <c r="AW13" s="4">
        <v>5.16</v>
      </c>
      <c r="AX13" s="4">
        <v>5.35</v>
      </c>
      <c r="AY13" s="12">
        <v>5.3</v>
      </c>
      <c r="AZ13" s="12">
        <v>5.37</v>
      </c>
      <c r="BA13" s="12">
        <v>5.42</v>
      </c>
      <c r="BB13" s="18">
        <v>5.51</v>
      </c>
      <c r="BC13" s="63">
        <v>5.81</v>
      </c>
      <c r="BD13" s="63">
        <v>5.88</v>
      </c>
      <c r="BE13" s="63">
        <v>5.83</v>
      </c>
      <c r="BF13" s="63">
        <v>6.25</v>
      </c>
      <c r="BG13" s="91" cm="1">
        <f t="array" aca="1" ref="BG13" ca="1">_FV(EE13,"Preço")</f>
        <v>6.3</v>
      </c>
      <c r="BH13" s="93" t="s">
        <v>123</v>
      </c>
      <c r="BI13" s="32" cm="1">
        <f t="array" aca="1" ref="BI13" ca="1">_FV(EE13,"Beta")</f>
        <v>1.2490000000000001</v>
      </c>
      <c r="BJ13" s="96" cm="1">
        <f t="array" aca="1" ref="BJ13" ca="1">_FV(EE13,"Variação (%)",TRUE)</f>
        <v>1.5900000000000001E-3</v>
      </c>
      <c r="BK13" s="49"/>
      <c r="BL13" s="49"/>
      <c r="BN13" s="32"/>
      <c r="BO13" s="20" cm="1">
        <f t="array" aca="1" ref="BO13" ca="1">_FV(EE13,"Baixo")</f>
        <v>6.19</v>
      </c>
      <c r="BP13" s="20" cm="1">
        <f t="array" aca="1" ref="BP13" ca="1">_FV(EE13,"Alto")</f>
        <v>6.3</v>
      </c>
      <c r="BQ13" s="32"/>
      <c r="BR13" s="74" t="e">
        <f ca="1">SQRT(22.5*(BG13/VLOOKUP(BH13,Fundamentus!A:U,3,FALSE))*(BG13/VLOOKUP(BH13,Fundamentus!A:U,4,FALSE)))</f>
        <v>#NUM!</v>
      </c>
      <c r="BT13" s="73">
        <f t="shared" ca="1" si="0"/>
        <v>7.9999999999999724E-3</v>
      </c>
      <c r="BU13" s="36">
        <f t="shared" si="1"/>
        <v>-0.13629629629629628</v>
      </c>
      <c r="BV13" s="8"/>
      <c r="BW13" s="72">
        <f t="shared" si="2"/>
        <v>5.05</v>
      </c>
      <c r="BX13" s="72">
        <f t="shared" si="3"/>
        <v>6.04293103448276</v>
      </c>
      <c r="BY13" s="72">
        <f t="shared" si="4"/>
        <v>7</v>
      </c>
      <c r="BZ13" s="17"/>
      <c r="CA13" s="17"/>
      <c r="CB13" s="43">
        <f t="shared" si="5"/>
        <v>5.8883816807356109</v>
      </c>
      <c r="CC13" s="18">
        <f t="shared" si="6"/>
        <v>6.2470946579193196</v>
      </c>
      <c r="CD13" s="43">
        <f t="shared" si="7"/>
        <v>6.6058076351030284</v>
      </c>
      <c r="CE13" s="98">
        <f t="shared" ca="1" si="8"/>
        <v>0.14748655734745172</v>
      </c>
      <c r="CF13" s="17"/>
      <c r="CG13" s="20">
        <f t="shared" si="9"/>
        <v>3.2500000000000009</v>
      </c>
      <c r="CH13" s="20">
        <f t="shared" si="10"/>
        <v>4.1500000000000004</v>
      </c>
      <c r="CI13" s="20">
        <f t="shared" si="11"/>
        <v>5.2000000000000011</v>
      </c>
      <c r="CJ13" s="49">
        <f t="shared" si="12"/>
        <v>6.1000000000000005</v>
      </c>
      <c r="CK13" s="20">
        <f t="shared" si="13"/>
        <v>7.1500000000000012</v>
      </c>
      <c r="CL13" s="20">
        <f t="shared" si="14"/>
        <v>8.0500000000000007</v>
      </c>
      <c r="CM13" s="20">
        <f t="shared" si="15"/>
        <v>9.1000000000000014</v>
      </c>
      <c r="CN13" s="2" cm="1">
        <f t="array" aca="1" ref="CN13" ca="1">MAX(_xlfn._xlws.FILTER(CG13:CM13,CG13:CM13&lt;BG13))</f>
        <v>6.1000000000000005</v>
      </c>
      <c r="CO13" s="2" cm="1">
        <f t="array" aca="1" ref="CO13" ca="1">MIN(_xlfn._xlws.FILTER($CG13:$CM13,$CG13:$CM13&gt;BG13))</f>
        <v>7.1500000000000012</v>
      </c>
      <c r="CP13" s="19">
        <f t="shared" ref="CP13:CP17" ca="1" si="48">(CO13/CN13)-1</f>
        <v>0.17213114754098369</v>
      </c>
      <c r="CQ13" s="23">
        <f t="shared" ref="CQ13:CQ17" ca="1" si="49">-$CP13/2</f>
        <v>-8.6065573770491843E-2</v>
      </c>
      <c r="CR13" s="23">
        <f t="shared" ref="CR13:CR17" ca="1" si="50">-$CP13/3</f>
        <v>-5.7377049180327898E-2</v>
      </c>
      <c r="CS13" s="23">
        <f t="shared" ref="CS13:CS17" ca="1" si="51">-$CP13/5</f>
        <v>-3.4426229508196737E-2</v>
      </c>
      <c r="CT13" s="23">
        <f t="shared" ref="CT13:CT17" ca="1" si="52">-$CP13/9</f>
        <v>-1.9125683060109297E-2</v>
      </c>
      <c r="CU13" s="23">
        <f t="shared" ref="CU13:CU17" ca="1" si="53">-$CP13/17</f>
        <v>-1.0125361620057864E-2</v>
      </c>
      <c r="CV13" s="23">
        <f t="shared" ref="CV13:CV17" ca="1" si="54">-$CP13/33</f>
        <v>-5.2160953800298084E-3</v>
      </c>
      <c r="CW13" s="23">
        <f t="shared" ref="CW13:CW17" ca="1" si="55">-$CP13/65</f>
        <v>-2.6481715006305183E-3</v>
      </c>
      <c r="CX13" s="24">
        <f t="shared" ref="CX13:CX17" ca="1" si="56">-$CP13/65*-1</f>
        <v>2.6481715006305183E-3</v>
      </c>
      <c r="CY13" s="24">
        <f t="shared" ref="CY13:CY17" ca="1" si="57">-$CP13/33*-1</f>
        <v>5.2160953800298084E-3</v>
      </c>
      <c r="CZ13" s="24">
        <f t="shared" ref="CZ13:CZ17" ca="1" si="58">-$CP13/17*-1</f>
        <v>1.0125361620057864E-2</v>
      </c>
      <c r="DA13" s="24">
        <f t="shared" ref="DA13:DA17" ca="1" si="59">-$CP13/9*-1</f>
        <v>1.9125683060109297E-2</v>
      </c>
      <c r="DB13" s="24">
        <f t="shared" ref="DB13:DB17" ca="1" si="60">-$CP13/5*-1</f>
        <v>3.4426229508196737E-2</v>
      </c>
      <c r="DC13" s="24">
        <f t="shared" ref="DC13:DC17" ca="1" si="61">-$CP13/3*-1</f>
        <v>5.7377049180327898E-2</v>
      </c>
      <c r="DD13" s="24">
        <f t="shared" ref="DD13:DD17" ca="1" si="62">-$CP13/2*-1</f>
        <v>8.6065573770491843E-2</v>
      </c>
      <c r="DF13" s="19" cm="1">
        <f t="array" aca="1" ref="DF13" ca="1">MAX(_xlfn._xlws.FILTER(CQ13:DD13,CQ13:DD13&lt;BJ13))</f>
        <v>-2.6481715006305183E-3</v>
      </c>
      <c r="DG13" s="19" cm="1">
        <f t="array" aca="1" ref="DG13" ca="1">MIN(_xlfn._xlws.FILTER(CQ13:DD13,CQ13:DD13&gt;BJ13))</f>
        <v>2.6481715006305183E-3</v>
      </c>
      <c r="DH13" s="2" cm="1">
        <f t="array" aca="1" ref="DH13" ca="1">_FV(EE13,"Fechamento anterior",TRUE)</f>
        <v>6.29</v>
      </c>
      <c r="DI13" s="36">
        <f t="shared" ca="1" si="22"/>
        <v>0.80017412370353658</v>
      </c>
      <c r="DJ13" s="18">
        <f t="shared" ref="DJ13:DJ17" ca="1" si="63">DH13+(DH13*DF13)</f>
        <v>6.2733430012610345</v>
      </c>
      <c r="DK13" s="18">
        <f t="shared" ref="DK13:DK17" ca="1" si="64">DH13+(DH13*DG13)</f>
        <v>6.3066569987389656</v>
      </c>
      <c r="DL13" s="9"/>
      <c r="DM13" s="9"/>
      <c r="DN13" s="9"/>
      <c r="DO13" s="9"/>
      <c r="DP13" s="79">
        <v>6.9296795023230219E-3</v>
      </c>
      <c r="DQ13" s="79">
        <v>1.7670682730923704E-2</v>
      </c>
      <c r="DR13" s="79">
        <v>6.9296795023230219E-3</v>
      </c>
      <c r="DS13" s="79">
        <f t="shared" ca="1" si="25"/>
        <v>5.2963430012610366E-3</v>
      </c>
      <c r="DT13" s="47"/>
      <c r="DU13" s="43">
        <f t="shared" si="26"/>
        <v>0.17935648859185446</v>
      </c>
      <c r="DV13" s="83">
        <f t="shared" ca="1" si="27"/>
        <v>1.6751</v>
      </c>
      <c r="DW13" s="83">
        <f t="shared" ca="1" si="28"/>
        <v>1.0900000000000001</v>
      </c>
      <c r="DX13" s="83">
        <f t="shared" ca="1" si="29"/>
        <v>0.58509999999999995</v>
      </c>
      <c r="DY13" s="67"/>
      <c r="DZ13" s="67"/>
      <c r="EA13" s="85"/>
      <c r="EB13" s="44">
        <v>219800</v>
      </c>
      <c r="EC13" s="44" cm="1">
        <f t="array" aca="1" ref="EC13" ca="1">_FV(EE13,"Volume")</f>
        <v>167300</v>
      </c>
      <c r="EE13" s="2" t="e" vm="13">
        <v>#VALUE!</v>
      </c>
      <c r="EG13" s="10" cm="1">
        <f t="array" aca="1" ref="EG13" ca="1">_FV(EE13,"Ações em circulação",TRUE)</f>
        <v>199959500</v>
      </c>
      <c r="EH13" s="21">
        <f>VLOOKUP(BH13,Fundamentus!A:U,5,FALSE)</f>
        <v>0.72899999999999998</v>
      </c>
      <c r="EI13" s="2">
        <f t="shared" ca="1" si="30"/>
        <v>1728045061.7283952</v>
      </c>
      <c r="EJ13" s="20">
        <v>-23486326.731824417</v>
      </c>
      <c r="EK13" s="20">
        <f t="shared" ca="1" si="31"/>
        <v>-23674217.345679015</v>
      </c>
      <c r="EM13" s="40" t="str">
        <f>IF(VLOOKUP(BH13,Fundamentus!A:U,3,FALSE)&lt;15,"Bom",IF(VLOOKUP(BH13,Fundamentus!A:U,3,FALSE)&gt;15,"Ruim","n/a"))</f>
        <v>Bom</v>
      </c>
      <c r="EN13" s="36" t="str">
        <f>IF(VLOOKUP(BH13,Fundamentus!A:U,4,FALSE)&lt;1,"Baixo",IF(VLOOKUP(BH13,Fundamentus!A:U,4,FALSE)&lt;1.5,"Moderado",IF(VLOOKUP(BH13,Fundamentus!A:U,4,FALSE)&gt;1.5,"Alto","n/a")))</f>
        <v>Moderado</v>
      </c>
      <c r="EO13" s="20" t="str">
        <f>IF(VLOOKUP(BH13,Fundamentus!A:U,8,FALSE)&lt;0,"Risco elevado",IF(VLOOKUP(BH13,Fundamentus!A:U,8,FALSE)&lt;1,"Saudável",IF(VLOOKUP(BH13,Fundamentus!A:U,8,FALSE)&lt;3,"Estável",IF(VLOOKUP(BH13,Fundamentus!A:U,8,FALSE)&gt;3,"Alerta","n/a"))))</f>
        <v>Alerta</v>
      </c>
      <c r="EP13" s="36" t="str">
        <f t="shared" si="32"/>
        <v>Ruim</v>
      </c>
      <c r="EQ13" s="20" t="str">
        <f>IF(VLOOKUP(BH13,Fundamentus!A:U,12,FALSE)&lt;2,"Subvalorizada",IF(VLOOKUP(BH13,Fundamentus!A:U,12,FALSE)&lt;6,"Muita barata",IF(VLOOKUP(BH13,Fundamentus!A:U,12,FALSE)&lt;6,"Barata",IF(VLOOKUP(BH13,Fundamentus!A:U,12,FALSE)&lt;8,"Atrativa",IF(VLOOKUP(BH13,Fundamentus!A:U,12,FALSE)&gt;8,"Supervalorizada","n/a")))))</f>
        <v>Muita barata</v>
      </c>
      <c r="ES13" s="20" t="str">
        <f>IF(VLOOKUP(BH13,Fundamentus!A:U,17,FALSE)&lt;0.1,"Fraco retorno",IF(VLOOKUP(BH13,Fundamentus!A:U,17,FALSE)&gt;0.1,"Bom retorno","n/a"))</f>
        <v>Fraco retorno</v>
      </c>
      <c r="ET13" s="20" t="str">
        <f>IF(VLOOKUP(BH13,Fundamentus!A:U,16,FALSE)&lt;0.1,"Ineficiente",IF(VLOOKUP(BH13,Fundamentus!A:U,16,FALSE)&gt;0.1,"Eficiente","n/a"))</f>
        <v>Ineficiente</v>
      </c>
      <c r="EU13" s="41" t="str">
        <f>IF(VLOOKUP(BH13,Fundamentus!A:U,16,FALSE)&lt;0.1,"Oper. Ineficiente",IF(VLOOKUP(BH13,Fundamentus!A:U,16,FALSE)&gt;0.1,"Oper.Eficiente","n/a"))</f>
        <v>Oper. Ineficiente</v>
      </c>
      <c r="EV13" s="42">
        <f>VLOOKUP(BH13,Fundamentus!A:U,14,FALSE)</f>
        <v>-1.37E-2</v>
      </c>
      <c r="EW13" s="20" t="str">
        <f>IF(VLOOKUP(BH13,Fundamentus!A:U,21,FALSE)&lt;0,"Negativo",IF(VLOOKUP(BH13,Fundamentus!A:U,21,FALSE)&lt;0.05,"Fraco",IF(VLOOKUP(BH13,Fundamentus!A:U,21,FALSE)&lt;0.1,"Bom",IF(VLOOKUP(BH13,Fundamentus!A:U,21,FALSE)&gt;0.1,"Muito bom","n/a"))))</f>
        <v>Muito bom</v>
      </c>
      <c r="EY13" s="37" t="str">
        <f>IF(VLOOKUP(BH13,Fundamentus!A:U,15,FALSE)&gt;1,"Bom",IF(VLOOKUP(BH13,Fundamentus!A:U,15,FALSE)&lt;1,"Ruim","n/a"))</f>
        <v>Bom</v>
      </c>
      <c r="EZ13" s="20" t="str">
        <f>IF(VLOOKUP(BH13,Fundamentus!A:U,20,FALSE)&lt;0.5,"Baixa",IF(VLOOKUP(BH13,Fundamentus!A:U,20,FALSE)&lt;1,"Moderada",IF(VLOOKUP(BH13,Fundamentus!A:U,20,FALSE)&lt;2,"Alerta",IF(VLOOKUP(BH13,Fundamentus!A:U,20,FALSE)&gt;2,"Alta","n/a"))))</f>
        <v>Alerta</v>
      </c>
    </row>
    <row r="14" spans="1:156" s="2" customFormat="1" ht="11.25" hidden="1" x14ac:dyDescent="0.2">
      <c r="A14" s="4">
        <v>15.67</v>
      </c>
      <c r="B14" s="4">
        <v>15.12</v>
      </c>
      <c r="C14" s="4">
        <v>14.56</v>
      </c>
      <c r="D14" s="4">
        <v>14.74</v>
      </c>
      <c r="E14" s="4">
        <v>14.61</v>
      </c>
      <c r="F14" s="4">
        <v>14.4</v>
      </c>
      <c r="G14" s="4">
        <v>14.17</v>
      </c>
      <c r="H14" s="4">
        <v>14.4</v>
      </c>
      <c r="I14" s="4">
        <v>14.43</v>
      </c>
      <c r="J14" s="4">
        <v>14.4</v>
      </c>
      <c r="K14" s="4">
        <v>14.93</v>
      </c>
      <c r="L14" s="4">
        <v>15.3</v>
      </c>
      <c r="M14" s="4">
        <v>14.8</v>
      </c>
      <c r="N14" s="4">
        <v>14.68</v>
      </c>
      <c r="O14" s="4">
        <v>14.95</v>
      </c>
      <c r="P14" s="4">
        <v>15.83</v>
      </c>
      <c r="Q14" s="4">
        <v>16.3</v>
      </c>
      <c r="R14" s="4">
        <v>16.399999999999999</v>
      </c>
      <c r="S14" s="4">
        <v>16.170000000000002</v>
      </c>
      <c r="T14" s="4">
        <v>16.16</v>
      </c>
      <c r="U14" s="4">
        <v>15.37</v>
      </c>
      <c r="V14" s="4">
        <v>15.08</v>
      </c>
      <c r="W14" s="4">
        <v>15</v>
      </c>
      <c r="X14" s="4">
        <v>14.95</v>
      </c>
      <c r="Y14" s="4">
        <v>14.78</v>
      </c>
      <c r="Z14" s="4">
        <v>15.02</v>
      </c>
      <c r="AA14" s="4">
        <v>14.12</v>
      </c>
      <c r="AB14" s="4">
        <v>14.08</v>
      </c>
      <c r="AC14" s="4">
        <v>13.54</v>
      </c>
      <c r="AD14" s="4">
        <v>13.79</v>
      </c>
      <c r="AE14" s="4">
        <v>13.21</v>
      </c>
      <c r="AF14" s="4">
        <v>13.32</v>
      </c>
      <c r="AG14" s="4">
        <v>12.94</v>
      </c>
      <c r="AH14" s="4">
        <v>12.35</v>
      </c>
      <c r="AI14" s="4">
        <v>12.42</v>
      </c>
      <c r="AJ14" s="4">
        <v>12.24</v>
      </c>
      <c r="AK14" s="4">
        <v>12.55</v>
      </c>
      <c r="AL14" s="4">
        <v>13.06</v>
      </c>
      <c r="AM14" s="4">
        <v>13.11</v>
      </c>
      <c r="AN14" s="4">
        <v>13.56</v>
      </c>
      <c r="AO14" s="4">
        <v>13.81</v>
      </c>
      <c r="AP14" s="4">
        <v>13.94</v>
      </c>
      <c r="AQ14" s="4">
        <v>13.8</v>
      </c>
      <c r="AR14" s="4">
        <v>13.37</v>
      </c>
      <c r="AS14" s="4">
        <v>13.55</v>
      </c>
      <c r="AT14" s="4">
        <v>13.74</v>
      </c>
      <c r="AU14" s="4">
        <v>14.02</v>
      </c>
      <c r="AV14" s="4">
        <v>14.38</v>
      </c>
      <c r="AW14" s="4">
        <v>14.04</v>
      </c>
      <c r="AX14" s="4">
        <v>13.96</v>
      </c>
      <c r="AY14" s="12">
        <v>14.26</v>
      </c>
      <c r="AZ14" s="12">
        <v>14.6</v>
      </c>
      <c r="BA14" s="12">
        <v>15.45</v>
      </c>
      <c r="BB14" s="18">
        <v>15.53</v>
      </c>
      <c r="BC14" s="63">
        <v>15.91</v>
      </c>
      <c r="BD14" s="63">
        <v>15.69</v>
      </c>
      <c r="BE14" s="63">
        <v>15.4</v>
      </c>
      <c r="BF14" s="63">
        <v>14.98</v>
      </c>
      <c r="BG14" s="91" cm="1">
        <f t="array" aca="1" ref="BG14" ca="1">_FV(EE14,"Preço")</f>
        <v>15.5</v>
      </c>
      <c r="BH14" s="93" t="s">
        <v>12</v>
      </c>
      <c r="BI14" s="32" cm="1">
        <f t="array" aca="1" ref="BI14" ca="1">_FV(EE14,"Beta")</f>
        <v>1.0891</v>
      </c>
      <c r="BJ14" s="96" cm="1">
        <f t="array" aca="1" ref="BJ14" ca="1">_FV(EE14,"Variação (%)",TRUE)</f>
        <v>0</v>
      </c>
      <c r="BK14" s="49"/>
      <c r="BL14" s="49"/>
      <c r="BN14" s="32"/>
      <c r="BO14" s="20" cm="1">
        <f t="array" aca="1" ref="BO14" ca="1">_FV(EE14,"Baixo")</f>
        <v>15.43</v>
      </c>
      <c r="BP14" s="20" cm="1">
        <f t="array" aca="1" ref="BP14" ca="1">_FV(EE14,"Alto")</f>
        <v>15.82</v>
      </c>
      <c r="BQ14" s="32"/>
      <c r="BR14" s="74">
        <f ca="1">SQRT(22.5*(BG14/VLOOKUP(BH14,Fundamentus!A:U,3,FALSE))*(BG14/VLOOKUP(BH14,Fundamentus!A:U,4,FALSE)))</f>
        <v>22.873401773912018</v>
      </c>
      <c r="BT14" s="73">
        <f t="shared" ca="1" si="0"/>
        <v>3.471295060080104E-2</v>
      </c>
      <c r="BU14" s="36">
        <f t="shared" si="1"/>
        <v>-1.7230376515634943E-2</v>
      </c>
      <c r="BV14" s="8"/>
      <c r="BW14" s="72">
        <f t="shared" si="2"/>
        <v>12.24</v>
      </c>
      <c r="BX14" s="72">
        <f t="shared" si="3"/>
        <v>14.429999999999996</v>
      </c>
      <c r="BY14" s="72">
        <f t="shared" si="4"/>
        <v>16.399999999999999</v>
      </c>
      <c r="BZ14" s="17"/>
      <c r="CA14" s="17"/>
      <c r="CB14" s="43">
        <f t="shared" si="5"/>
        <v>14.054005262286765</v>
      </c>
      <c r="CC14" s="18">
        <f t="shared" si="6"/>
        <v>14.750065604498559</v>
      </c>
      <c r="CD14" s="43">
        <f t="shared" si="7"/>
        <v>15.446125946710353</v>
      </c>
      <c r="CE14" s="98">
        <f t="shared" ca="1" si="8"/>
        <v>1.0773985386359712</v>
      </c>
      <c r="CF14" s="17"/>
      <c r="CG14" s="20">
        <f t="shared" si="9"/>
        <v>8.5200000000000049</v>
      </c>
      <c r="CH14" s="20">
        <f t="shared" si="10"/>
        <v>10.380000000000003</v>
      </c>
      <c r="CI14" s="20">
        <f t="shared" si="11"/>
        <v>12.680000000000003</v>
      </c>
      <c r="CJ14" s="49">
        <f t="shared" si="12"/>
        <v>14.540000000000001</v>
      </c>
      <c r="CK14" s="20">
        <f t="shared" si="13"/>
        <v>16.840000000000003</v>
      </c>
      <c r="CL14" s="20">
        <f t="shared" si="14"/>
        <v>18.7</v>
      </c>
      <c r="CM14" s="20">
        <f t="shared" si="15"/>
        <v>21</v>
      </c>
      <c r="CN14" s="2" cm="1">
        <f t="array" aca="1" ref="CN14" ca="1">MAX(_xlfn._xlws.FILTER(CG14:CM14,CG14:CM14&lt;BG14))</f>
        <v>14.540000000000001</v>
      </c>
      <c r="CO14" s="2" cm="1">
        <f t="array" aca="1" ref="CO14" ca="1">MIN(_xlfn._xlws.FILTER($CG14:$CM14,$CG14:$CM14&gt;BG14))</f>
        <v>16.840000000000003</v>
      </c>
      <c r="CP14" s="19">
        <f t="shared" ca="1" si="48"/>
        <v>0.15818431911967012</v>
      </c>
      <c r="CQ14" s="23">
        <f t="shared" ca="1" si="49"/>
        <v>-7.9092159559835062E-2</v>
      </c>
      <c r="CR14" s="23">
        <f t="shared" ca="1" si="50"/>
        <v>-5.2728106373223373E-2</v>
      </c>
      <c r="CS14" s="23">
        <f t="shared" ca="1" si="51"/>
        <v>-3.1636863823934026E-2</v>
      </c>
      <c r="CT14" s="23">
        <f t="shared" ca="1" si="52"/>
        <v>-1.7576035457741127E-2</v>
      </c>
      <c r="CU14" s="23">
        <f t="shared" ca="1" si="53"/>
        <v>-9.3049599482158893E-3</v>
      </c>
      <c r="CV14" s="23">
        <f t="shared" ca="1" si="54"/>
        <v>-4.7934642157475794E-3</v>
      </c>
      <c r="CW14" s="23">
        <f t="shared" ca="1" si="55"/>
        <v>-2.4336049095333863E-3</v>
      </c>
      <c r="CX14" s="24">
        <f t="shared" ca="1" si="56"/>
        <v>2.4336049095333863E-3</v>
      </c>
      <c r="CY14" s="24">
        <f t="shared" ca="1" si="57"/>
        <v>4.7934642157475794E-3</v>
      </c>
      <c r="CZ14" s="24">
        <f t="shared" ca="1" si="58"/>
        <v>9.3049599482158893E-3</v>
      </c>
      <c r="DA14" s="24">
        <f t="shared" ca="1" si="59"/>
        <v>1.7576035457741127E-2</v>
      </c>
      <c r="DB14" s="24">
        <f t="shared" ca="1" si="60"/>
        <v>3.1636863823934026E-2</v>
      </c>
      <c r="DC14" s="24">
        <f t="shared" ca="1" si="61"/>
        <v>5.2728106373223373E-2</v>
      </c>
      <c r="DD14" s="24">
        <f t="shared" ca="1" si="62"/>
        <v>7.9092159559835062E-2</v>
      </c>
      <c r="DF14" s="19" cm="1">
        <f t="array" aca="1" ref="DF14" ca="1">MAX(_xlfn._xlws.FILTER(CQ14:DD14,CQ14:DD14&lt;BJ14))</f>
        <v>-2.4336049095333863E-3</v>
      </c>
      <c r="DG14" s="19" cm="1">
        <f t="array" aca="1" ref="DG14" ca="1">MIN(_xlfn._xlws.FILTER(CQ14:DD14,CQ14:DD14&gt;BJ14))</f>
        <v>2.4336049095333863E-3</v>
      </c>
      <c r="DH14" s="2" cm="1">
        <f t="array" aca="1" ref="DH14" ca="1">_FV(EE14,"Fechamento anterior",TRUE)</f>
        <v>15.5</v>
      </c>
      <c r="DI14" s="36">
        <f t="shared" ca="1" si="22"/>
        <v>0.5</v>
      </c>
      <c r="DJ14" s="18">
        <f t="shared" ca="1" si="63"/>
        <v>15.462279123902233</v>
      </c>
      <c r="DK14" s="18">
        <f t="shared" ca="1" si="64"/>
        <v>15.537720876097767</v>
      </c>
      <c r="DL14" s="9"/>
      <c r="DM14" s="9"/>
      <c r="DN14" s="9"/>
      <c r="DO14" s="9"/>
      <c r="DP14" s="79">
        <v>5.2705588250612015E-3</v>
      </c>
      <c r="DQ14" s="79">
        <v>4.8853664688624336E-3</v>
      </c>
      <c r="DR14" s="79">
        <v>8.9565051929144605E-3</v>
      </c>
      <c r="DS14" s="79">
        <f t="shared" ca="1" si="25"/>
        <v>4.8672098190667727E-3</v>
      </c>
      <c r="DT14" s="47"/>
      <c r="DU14" s="43">
        <f t="shared" si="26"/>
        <v>0.3480301711058969</v>
      </c>
      <c r="DV14" s="83">
        <f t="shared" ca="1" si="27"/>
        <v>1.5151999999999999</v>
      </c>
      <c r="DW14" s="83">
        <f t="shared" ca="1" si="28"/>
        <v>1.0891</v>
      </c>
      <c r="DX14" s="83">
        <f t="shared" ca="1" si="29"/>
        <v>0.42609999999999992</v>
      </c>
      <c r="DY14" s="67"/>
      <c r="DZ14" s="67"/>
      <c r="EA14" s="85"/>
      <c r="EB14" s="44">
        <v>67600</v>
      </c>
      <c r="EC14" s="44" cm="1">
        <f t="array" aca="1" ref="EC14" ca="1">_FV(EE14,"Volume")</f>
        <v>62700</v>
      </c>
      <c r="EE14" s="2" t="e" vm="14">
        <v>#VALUE!</v>
      </c>
      <c r="EG14" s="10" cm="1">
        <f t="array" aca="1" ref="EG14" ca="1">_FV(EE14,"Ações em circulação",TRUE)</f>
        <v>3749266000</v>
      </c>
      <c r="EH14" s="21">
        <f>VLOOKUP(BH14,Fundamentus!A:U,5,FALSE)</f>
        <v>0</v>
      </c>
      <c r="EI14" s="2" t="e">
        <f t="shared" ca="1" si="30"/>
        <v>#DIV/0!</v>
      </c>
      <c r="EJ14" s="20" t="e">
        <v>#DIV/0!</v>
      </c>
      <c r="EK14" s="20" t="e">
        <f t="shared" ca="1" si="31"/>
        <v>#DIV/0!</v>
      </c>
      <c r="EM14" s="40" t="str">
        <f>IF(VLOOKUP(BH14,Fundamentus!A:U,3,FALSE)&lt;15,"Bom",IF(VLOOKUP(BH14,Fundamentus!A:U,3,FALSE)&gt;15,"Ruim","n/a"))</f>
        <v>Bom</v>
      </c>
      <c r="EN14" s="36" t="str">
        <f>IF(VLOOKUP(BH14,Fundamentus!A:U,4,FALSE)&lt;1,"Baixo",IF(VLOOKUP(BH14,Fundamentus!A:U,4,FALSE)&lt;1.5,"Moderado",IF(VLOOKUP(BH14,Fundamentus!A:U,4,FALSE)&gt;1.5,"Alto","n/a")))</f>
        <v>Moderado</v>
      </c>
      <c r="EO14" s="20" t="str">
        <f>IF(VLOOKUP(BH14,Fundamentus!A:U,8,FALSE)&lt;0,"Risco elevado",IF(VLOOKUP(BH14,Fundamentus!A:U,8,FALSE)&lt;1,"Saudável",IF(VLOOKUP(BH14,Fundamentus!A:U,8,FALSE)&lt;3,"Estável",IF(VLOOKUP(BH14,Fundamentus!A:U,8,FALSE)&gt;3,"Alerta","n/a"))))</f>
        <v>Saudável</v>
      </c>
      <c r="EP14" s="36" t="str">
        <f t="shared" si="32"/>
        <v>Ruim</v>
      </c>
      <c r="EQ14" s="20" t="str">
        <f>IF(VLOOKUP(BH14,Fundamentus!A:U,12,FALSE)&lt;2,"Subvalorizada",IF(VLOOKUP(BH14,Fundamentus!A:U,12,FALSE)&lt;6,"Muita barata",IF(VLOOKUP(BH14,Fundamentus!A:U,12,FALSE)&lt;6,"Barata",IF(VLOOKUP(BH14,Fundamentus!A:U,12,FALSE)&lt;8,"Atrativa",IF(VLOOKUP(BH14,Fundamentus!A:U,12,FALSE)&gt;8,"Supervalorizada","n/a")))))</f>
        <v>Subvalorizada</v>
      </c>
      <c r="ES14" s="20" t="str">
        <f>IF(VLOOKUP(BH14,Fundamentus!A:U,17,FALSE)&lt;0.1,"Fraco retorno",IF(VLOOKUP(BH14,Fundamentus!A:U,17,FALSE)&gt;0.1,"Bom retorno","n/a"))</f>
        <v>Bom retorno</v>
      </c>
      <c r="ET14" s="20" t="str">
        <f>IF(VLOOKUP(BH14,Fundamentus!A:U,16,FALSE)&lt;0.1,"Ineficiente",IF(VLOOKUP(BH14,Fundamentus!A:U,16,FALSE)&gt;0.1,"Eficiente","n/a"))</f>
        <v>Ineficiente</v>
      </c>
      <c r="EU14" s="41" t="str">
        <f>IF(VLOOKUP(BH14,Fundamentus!A:U,16,FALSE)&lt;0.1,"Oper. Ineficiente",IF(VLOOKUP(BH14,Fundamentus!A:U,16,FALSE)&gt;0.1,"Oper.Eficiente","n/a"))</f>
        <v>Oper. Ineficiente</v>
      </c>
      <c r="EV14" s="42">
        <f>VLOOKUP(BH14,Fundamentus!A:U,14,FALSE)</f>
        <v>0</v>
      </c>
      <c r="EW14" s="20" t="str">
        <f>IF(VLOOKUP(BH14,Fundamentus!A:U,21,FALSE)&lt;0,"Negativo",IF(VLOOKUP(BH14,Fundamentus!A:U,21,FALSE)&lt;0.05,"Fraco",IF(VLOOKUP(BH14,Fundamentus!A:U,21,FALSE)&lt;0.1,"Bom",IF(VLOOKUP(BH14,Fundamentus!A:U,21,FALSE)&gt;0.1,"Muito bom","n/a"))))</f>
        <v>Negativo</v>
      </c>
      <c r="EY14" s="37" t="str">
        <f>IF(VLOOKUP(BH14,Fundamentus!A:U,15,FALSE)&gt;1,"Bom",IF(VLOOKUP(BH14,Fundamentus!A:U,15,FALSE)&lt;1,"Ruim","n/a"))</f>
        <v>Ruim</v>
      </c>
      <c r="EZ14" s="20" t="str">
        <f>IF(VLOOKUP(BH14,Fundamentus!A:U,20,FALSE)&lt;0.5,"Baixa",IF(VLOOKUP(BH14,Fundamentus!A:U,20,FALSE)&lt;1,"Moderada",IF(VLOOKUP(BH14,Fundamentus!A:U,20,FALSE)&lt;2,"Alerta",IF(VLOOKUP(BH14,Fundamentus!A:U,20,FALSE)&gt;2,"Alta","n/a"))))</f>
        <v>Baixa</v>
      </c>
    </row>
    <row r="15" spans="1:156" s="2" customFormat="1" ht="11.25" hidden="1" x14ac:dyDescent="0.2">
      <c r="A15" s="4">
        <v>4.68</v>
      </c>
      <c r="B15" s="4">
        <v>4.6500000000000004</v>
      </c>
      <c r="C15" s="4">
        <v>4.8099999999999996</v>
      </c>
      <c r="D15" s="4">
        <v>4.91</v>
      </c>
      <c r="E15" s="4">
        <v>4.6500000000000004</v>
      </c>
      <c r="F15" s="4">
        <v>4.71</v>
      </c>
      <c r="G15" s="4">
        <v>4.6500000000000004</v>
      </c>
      <c r="H15" s="4">
        <v>4.5</v>
      </c>
      <c r="I15" s="4">
        <v>4.55</v>
      </c>
      <c r="J15" s="4">
        <v>4.58</v>
      </c>
      <c r="K15" s="4">
        <v>4.58</v>
      </c>
      <c r="L15" s="4">
        <v>4.55</v>
      </c>
      <c r="M15" s="4">
        <v>4.45</v>
      </c>
      <c r="N15" s="4">
        <v>4.4000000000000004</v>
      </c>
      <c r="O15" s="4">
        <v>4.47</v>
      </c>
      <c r="P15" s="4">
        <v>4.46</v>
      </c>
      <c r="Q15" s="4">
        <v>4.55</v>
      </c>
      <c r="R15" s="4">
        <v>4.51</v>
      </c>
      <c r="S15" s="4">
        <v>4.5599999999999996</v>
      </c>
      <c r="T15" s="4">
        <v>5.08</v>
      </c>
      <c r="U15" s="4">
        <v>4.6399999999999997</v>
      </c>
      <c r="V15" s="4">
        <v>4.6500000000000004</v>
      </c>
      <c r="W15" s="4">
        <v>4.59</v>
      </c>
      <c r="X15" s="4">
        <v>4.43</v>
      </c>
      <c r="Y15" s="4">
        <v>4.37</v>
      </c>
      <c r="Z15" s="4">
        <v>4.45</v>
      </c>
      <c r="AA15" s="4">
        <v>4.45</v>
      </c>
      <c r="AB15" s="4">
        <v>4.4000000000000004</v>
      </c>
      <c r="AC15" s="4">
        <v>4.2699999999999996</v>
      </c>
      <c r="AD15" s="4">
        <v>4.3</v>
      </c>
      <c r="AE15" s="4">
        <v>4.3</v>
      </c>
      <c r="AF15" s="4">
        <v>4.32</v>
      </c>
      <c r="AG15" s="4">
        <v>4.25</v>
      </c>
      <c r="AH15" s="4">
        <v>4.22</v>
      </c>
      <c r="AI15" s="4">
        <v>4.0999999999999996</v>
      </c>
      <c r="AJ15" s="4">
        <v>4.2</v>
      </c>
      <c r="AK15" s="4">
        <v>4.2300000000000004</v>
      </c>
      <c r="AL15" s="4">
        <v>4.1500000000000004</v>
      </c>
      <c r="AM15" s="4">
        <v>4.1399999999999997</v>
      </c>
      <c r="AN15" s="4">
        <v>4.1900000000000004</v>
      </c>
      <c r="AO15" s="4">
        <v>4.18</v>
      </c>
      <c r="AP15" s="4">
        <v>4.17</v>
      </c>
      <c r="AQ15" s="4">
        <v>4.17</v>
      </c>
      <c r="AR15" s="4">
        <v>4.1500000000000004</v>
      </c>
      <c r="AS15" s="4">
        <v>4.13</v>
      </c>
      <c r="AT15" s="4">
        <v>4.13</v>
      </c>
      <c r="AU15" s="4">
        <v>4.2249999999999996</v>
      </c>
      <c r="AV15" s="4">
        <v>4.3600000000000003</v>
      </c>
      <c r="AW15" s="4">
        <v>4.2699999999999996</v>
      </c>
      <c r="AX15" s="4">
        <v>4.2300000000000004</v>
      </c>
      <c r="AY15" s="12">
        <v>4.4400000000000004</v>
      </c>
      <c r="AZ15" s="12">
        <v>4.45</v>
      </c>
      <c r="BA15" s="12">
        <v>4.4800000000000004</v>
      </c>
      <c r="BB15" s="18">
        <v>4.42</v>
      </c>
      <c r="BC15" s="63">
        <v>4.7</v>
      </c>
      <c r="BD15" s="63">
        <v>4.8899999999999997</v>
      </c>
      <c r="BE15" s="63">
        <v>4.88</v>
      </c>
      <c r="BF15" s="63">
        <v>4.91</v>
      </c>
      <c r="BG15" s="91" cm="1">
        <f t="array" aca="1" ref="BG15" ca="1">_FV(EE15,"Preço")</f>
        <v>4.95</v>
      </c>
      <c r="BH15" s="93" t="s">
        <v>13</v>
      </c>
      <c r="BI15" s="32" cm="1">
        <f t="array" aca="1" ref="BI15" ca="1">_FV(EE15,"Beta")</f>
        <v>0.56899999999999995</v>
      </c>
      <c r="BJ15" s="96" cm="1">
        <f t="array" aca="1" ref="BJ15" ca="1">_FV(EE15,"Variação (%)",TRUE)</f>
        <v>-1.9802E-2</v>
      </c>
      <c r="BK15" s="49"/>
      <c r="BL15" s="49"/>
      <c r="BN15" s="32"/>
      <c r="BO15" s="20" cm="1">
        <f t="array" aca="1" ref="BO15" ca="1">_FV(EE15,"Baixo")</f>
        <v>4.9000000000000004</v>
      </c>
      <c r="BP15" s="20" cm="1">
        <f t="array" aca="1" ref="BP15" ca="1">_FV(EE15,"Alto")</f>
        <v>5.08</v>
      </c>
      <c r="BQ15" s="32"/>
      <c r="BR15" s="74">
        <f ca="1">SQRT(22.5*(BG15/VLOOKUP(BH15,Fundamentus!A:U,3,FALSE))*(BG15/VLOOKUP(BH15,Fundamentus!A:U,4,FALSE)))</f>
        <v>5.0303215599696323</v>
      </c>
      <c r="BT15" s="73">
        <f t="shared" ca="1" si="0"/>
        <v>8.1466395112016355E-3</v>
      </c>
      <c r="BU15" s="36">
        <f t="shared" si="1"/>
        <v>4.2735042735042778E-2</v>
      </c>
      <c r="BV15" s="8"/>
      <c r="BW15" s="72">
        <f t="shared" si="2"/>
        <v>4.0999999999999996</v>
      </c>
      <c r="BX15" s="72">
        <f t="shared" si="3"/>
        <v>4.450603448275861</v>
      </c>
      <c r="BY15" s="72">
        <f t="shared" si="4"/>
        <v>5.08</v>
      </c>
      <c r="BZ15" s="17"/>
      <c r="CA15" s="17"/>
      <c r="CB15" s="43">
        <f t="shared" si="5"/>
        <v>4.830224618573447</v>
      </c>
      <c r="CC15" s="18">
        <f t="shared" si="6"/>
        <v>4.9990440487347882</v>
      </c>
      <c r="CD15" s="43">
        <f t="shared" si="7"/>
        <v>5.1678634788961295</v>
      </c>
      <c r="CE15" s="98">
        <f t="shared" ca="1" si="8"/>
        <v>-0.29051187228813957</v>
      </c>
      <c r="CF15" s="17"/>
      <c r="CG15" s="20">
        <f t="shared" si="9"/>
        <v>3.3333333333333321</v>
      </c>
      <c r="CH15" s="20">
        <f t="shared" si="10"/>
        <v>3.7166666666666659</v>
      </c>
      <c r="CI15" s="20">
        <f t="shared" si="11"/>
        <v>4.3133333333333326</v>
      </c>
      <c r="CJ15" s="49">
        <f t="shared" si="12"/>
        <v>4.6966666666666663</v>
      </c>
      <c r="CK15" s="20">
        <f t="shared" si="13"/>
        <v>5.293333333333333</v>
      </c>
      <c r="CL15" s="20">
        <f t="shared" si="14"/>
        <v>5.6766666666666667</v>
      </c>
      <c r="CM15" s="20">
        <f t="shared" si="15"/>
        <v>6.2733333333333334</v>
      </c>
      <c r="CN15" s="2" cm="1">
        <f t="array" aca="1" ref="CN15" ca="1">MAX(_xlfn._xlws.FILTER(CG15:CM15,CG15:CM15&lt;BG15))</f>
        <v>4.6966666666666663</v>
      </c>
      <c r="CO15" s="2" cm="1">
        <f t="array" aca="1" ref="CO15" ca="1">MIN(_xlfn._xlws.FILTER($CG15:$CM15,$CG15:$CM15&gt;BG15))</f>
        <v>5.293333333333333</v>
      </c>
      <c r="CP15" s="19">
        <f t="shared" ca="1" si="48"/>
        <v>0.12704045422285315</v>
      </c>
      <c r="CQ15" s="23">
        <f t="shared" ca="1" si="49"/>
        <v>-6.3520227111426575E-2</v>
      </c>
      <c r="CR15" s="23">
        <f t="shared" ca="1" si="50"/>
        <v>-4.2346818074284386E-2</v>
      </c>
      <c r="CS15" s="23">
        <f t="shared" ca="1" si="51"/>
        <v>-2.540809084457063E-2</v>
      </c>
      <c r="CT15" s="23">
        <f t="shared" ca="1" si="52"/>
        <v>-1.4115606024761461E-2</v>
      </c>
      <c r="CU15" s="23">
        <f t="shared" ca="1" si="53"/>
        <v>-7.4729678954619499E-3</v>
      </c>
      <c r="CV15" s="23">
        <f t="shared" ca="1" si="54"/>
        <v>-3.8497107340258532E-3</v>
      </c>
      <c r="CW15" s="23">
        <f t="shared" ca="1" si="55"/>
        <v>-1.954468526505433E-3</v>
      </c>
      <c r="CX15" s="24">
        <f t="shared" ca="1" si="56"/>
        <v>1.954468526505433E-3</v>
      </c>
      <c r="CY15" s="24">
        <f t="shared" ca="1" si="57"/>
        <v>3.8497107340258532E-3</v>
      </c>
      <c r="CZ15" s="24">
        <f t="shared" ca="1" si="58"/>
        <v>7.4729678954619499E-3</v>
      </c>
      <c r="DA15" s="24">
        <f t="shared" ca="1" si="59"/>
        <v>1.4115606024761461E-2</v>
      </c>
      <c r="DB15" s="24">
        <f t="shared" ca="1" si="60"/>
        <v>2.540809084457063E-2</v>
      </c>
      <c r="DC15" s="24">
        <f t="shared" ca="1" si="61"/>
        <v>4.2346818074284386E-2</v>
      </c>
      <c r="DD15" s="24">
        <f t="shared" ca="1" si="62"/>
        <v>6.3520227111426575E-2</v>
      </c>
      <c r="DF15" s="19" cm="1">
        <f t="array" aca="1" ref="DF15" ca="1">MAX(_xlfn._xlws.FILTER(CQ15:DD15,CQ15:DD15&lt;BJ15))</f>
        <v>-2.540809084457063E-2</v>
      </c>
      <c r="DG15" s="19" cm="1">
        <f t="array" aca="1" ref="DG15" ca="1">MIN(_xlfn._xlws.FILTER(CQ15:DD15,CQ15:DD15&gt;BJ15))</f>
        <v>-1.4115606024761461E-2</v>
      </c>
      <c r="DH15" s="2" cm="1">
        <f t="array" aca="1" ref="DH15" ca="1">_FV(EE15,"Fechamento anterior",TRUE)</f>
        <v>5.05</v>
      </c>
      <c r="DI15" s="36">
        <f t="shared" ca="1" si="22"/>
        <v>0.49644615299519951</v>
      </c>
      <c r="DJ15" s="18">
        <f t="shared" ca="1" si="63"/>
        <v>4.9216891412349177</v>
      </c>
      <c r="DK15" s="18">
        <f t="shared" ca="1" si="64"/>
        <v>4.9787161895749543</v>
      </c>
      <c r="DL15" s="9"/>
      <c r="DM15" s="9"/>
      <c r="DN15" s="9"/>
      <c r="DO15" s="9"/>
      <c r="DP15" s="79">
        <v>1.5007215007215035E-2</v>
      </c>
      <c r="DQ15" s="79">
        <v>3.4632034632034688E-3</v>
      </c>
      <c r="DR15" s="79">
        <v>5.8851823557706014E-3</v>
      </c>
      <c r="DS15" s="79">
        <f t="shared" ca="1" si="25"/>
        <v>1.1292484819809169E-2</v>
      </c>
      <c r="DT15" s="47"/>
      <c r="DU15" s="43">
        <f t="shared" si="26"/>
        <v>8.4409715080670564E-2</v>
      </c>
      <c r="DV15" s="83">
        <f t="shared" ca="1" si="27"/>
        <v>0.99509999999999987</v>
      </c>
      <c r="DW15" s="83">
        <f t="shared" ca="1" si="28"/>
        <v>2.5491999999999999</v>
      </c>
      <c r="DX15" s="83">
        <f t="shared" ca="1" si="29"/>
        <v>-1.5541</v>
      </c>
      <c r="DY15" s="67"/>
      <c r="DZ15" s="67"/>
      <c r="EA15" s="85"/>
      <c r="EB15" s="44">
        <v>28300</v>
      </c>
      <c r="EC15" s="44" cm="1">
        <f t="array" aca="1" ref="EC15" ca="1">_FV(EE15,"Volume")</f>
        <v>40200</v>
      </c>
      <c r="EE15" s="2" t="e" vm="15">
        <v>#VALUE!</v>
      </c>
      <c r="EG15" s="10" cm="1">
        <f t="array" aca="1" ref="EG15" ca="1">_FV(EE15,"Ações em circulação",TRUE)</f>
        <v>1502786000</v>
      </c>
      <c r="EH15" s="21">
        <f>VLOOKUP(BH15,Fundamentus!A:U,5,FALSE)</f>
        <v>0.55500000000000005</v>
      </c>
      <c r="EI15" s="2">
        <f t="shared" ca="1" si="30"/>
        <v>13403226486.486485</v>
      </c>
      <c r="EJ15" s="20">
        <v>905383887.5783782</v>
      </c>
      <c r="EK15" s="20">
        <f t="shared" ca="1" si="31"/>
        <v>912759723.72972953</v>
      </c>
      <c r="EM15" s="40" t="str">
        <f>IF(VLOOKUP(BH15,Fundamentus!A:U,3,FALSE)&lt;15,"Bom",IF(VLOOKUP(BH15,Fundamentus!A:U,3,FALSE)&gt;15,"Ruim","n/a"))</f>
        <v>Bom</v>
      </c>
      <c r="EN15" s="36" t="str">
        <f>IF(VLOOKUP(BH15,Fundamentus!A:U,4,FALSE)&lt;1,"Baixo",IF(VLOOKUP(BH15,Fundamentus!A:U,4,FALSE)&lt;1.5,"Moderado",IF(VLOOKUP(BH15,Fundamentus!A:U,4,FALSE)&gt;1.5,"Alto","n/a")))</f>
        <v>Alto</v>
      </c>
      <c r="EO15" s="20" t="str">
        <f>IF(VLOOKUP(BH15,Fundamentus!A:U,8,FALSE)&lt;0,"Risco elevado",IF(VLOOKUP(BH15,Fundamentus!A:U,8,FALSE)&lt;1,"Saudável",IF(VLOOKUP(BH15,Fundamentus!A:U,8,FALSE)&lt;3,"Estável",IF(VLOOKUP(BH15,Fundamentus!A:U,8,FALSE)&gt;3,"Alerta","n/a"))))</f>
        <v>Alerta</v>
      </c>
      <c r="EP15" s="36" t="str">
        <f t="shared" si="32"/>
        <v>Ruim</v>
      </c>
      <c r="EQ15" s="20" t="str">
        <f>IF(VLOOKUP(BH15,Fundamentus!A:U,12,FALSE)&lt;2,"Subvalorizada",IF(VLOOKUP(BH15,Fundamentus!A:U,12,FALSE)&lt;6,"Muita barata",IF(VLOOKUP(BH15,Fundamentus!A:U,12,FALSE)&lt;6,"Barata",IF(VLOOKUP(BH15,Fundamentus!A:U,12,FALSE)&lt;8,"Atrativa",IF(VLOOKUP(BH15,Fundamentus!A:U,12,FALSE)&gt;8,"Supervalorizada","n/a")))))</f>
        <v>Muita barata</v>
      </c>
      <c r="ES15" s="20" t="str">
        <f>IF(VLOOKUP(BH15,Fundamentus!A:U,17,FALSE)&lt;0.1,"Fraco retorno",IF(VLOOKUP(BH15,Fundamentus!A:U,17,FALSE)&gt;0.1,"Bom retorno","n/a"))</f>
        <v>Bom retorno</v>
      </c>
      <c r="ET15" s="20" t="str">
        <f>IF(VLOOKUP(BH15,Fundamentus!A:U,16,FALSE)&lt;0.1,"Ineficiente",IF(VLOOKUP(BH15,Fundamentus!A:U,16,FALSE)&gt;0.1,"Eficiente","n/a"))</f>
        <v>Eficiente</v>
      </c>
      <c r="EU15" s="41" t="str">
        <f>IF(VLOOKUP(BH15,Fundamentus!A:U,16,FALSE)&lt;0.1,"Oper. Ineficiente",IF(VLOOKUP(BH15,Fundamentus!A:U,16,FALSE)&gt;0.1,"Oper.Eficiente","n/a"))</f>
        <v>Oper.Eficiente</v>
      </c>
      <c r="EV15" s="42">
        <f>VLOOKUP(BH15,Fundamentus!A:U,14,FALSE)</f>
        <v>6.8099999999999994E-2</v>
      </c>
      <c r="EW15" s="20" t="str">
        <f>IF(VLOOKUP(BH15,Fundamentus!A:U,21,FALSE)&lt;0,"Negativo",IF(VLOOKUP(BH15,Fundamentus!A:U,21,FALSE)&lt;0.05,"Fraco",IF(VLOOKUP(BH15,Fundamentus!A:U,21,FALSE)&lt;0.1,"Bom",IF(VLOOKUP(BH15,Fundamentus!A:U,21,FALSE)&gt;0.1,"Muito bom","n/a"))))</f>
        <v>Bom</v>
      </c>
      <c r="EY15" s="37" t="str">
        <f>IF(VLOOKUP(BH15,Fundamentus!A:U,15,FALSE)&gt;1,"Bom",IF(VLOOKUP(BH15,Fundamentus!A:U,15,FALSE)&lt;1,"Ruim","n/a"))</f>
        <v>Bom</v>
      </c>
      <c r="EZ15" s="20" t="str">
        <f>IF(VLOOKUP(BH15,Fundamentus!A:U,20,FALSE)&lt;0.5,"Baixa",IF(VLOOKUP(BH15,Fundamentus!A:U,20,FALSE)&lt;1,"Moderada",IF(VLOOKUP(BH15,Fundamentus!A:U,20,FALSE)&lt;2,"Alerta",IF(VLOOKUP(BH15,Fundamentus!A:U,20,FALSE)&gt;2,"Alta","n/a"))))</f>
        <v>Baixa</v>
      </c>
    </row>
    <row r="16" spans="1:156" s="2" customFormat="1" ht="11.25" hidden="1" x14ac:dyDescent="0.2">
      <c r="A16" s="4">
        <v>9.9</v>
      </c>
      <c r="B16" s="4">
        <v>9.49</v>
      </c>
      <c r="C16" s="4">
        <v>9.17</v>
      </c>
      <c r="D16" s="4">
        <v>9.27</v>
      </c>
      <c r="E16" s="4">
        <v>8.92</v>
      </c>
      <c r="F16" s="4">
        <v>8.92</v>
      </c>
      <c r="G16" s="4">
        <v>9</v>
      </c>
      <c r="H16" s="4">
        <v>8.77</v>
      </c>
      <c r="I16" s="4">
        <v>8.83</v>
      </c>
      <c r="J16" s="4">
        <v>8.7100000000000009</v>
      </c>
      <c r="K16" s="4">
        <v>9.25</v>
      </c>
      <c r="L16" s="4">
        <v>9.4600000000000009</v>
      </c>
      <c r="M16" s="4">
        <v>9.16</v>
      </c>
      <c r="N16" s="4">
        <v>9.91</v>
      </c>
      <c r="O16" s="4">
        <v>10.1</v>
      </c>
      <c r="P16" s="4">
        <v>9.14</v>
      </c>
      <c r="Q16" s="4">
        <v>9.0299999999999994</v>
      </c>
      <c r="R16" s="4">
        <v>9.3000000000000007</v>
      </c>
      <c r="S16" s="4">
        <v>9.8000000000000007</v>
      </c>
      <c r="T16" s="4">
        <v>9.3000000000000007</v>
      </c>
      <c r="U16" s="4">
        <v>8.85</v>
      </c>
      <c r="V16" s="4">
        <v>9.6300000000000008</v>
      </c>
      <c r="W16" s="4">
        <v>9.4</v>
      </c>
      <c r="X16" s="4">
        <v>9.43</v>
      </c>
      <c r="Y16" s="4">
        <v>9.3000000000000007</v>
      </c>
      <c r="Z16" s="4">
        <v>9.1999999999999993</v>
      </c>
      <c r="AA16" s="4">
        <v>9.02</v>
      </c>
      <c r="AB16" s="4">
        <v>8.3699999999999992</v>
      </c>
      <c r="AC16" s="4">
        <v>7.9</v>
      </c>
      <c r="AD16" s="4">
        <v>8.1999999999999993</v>
      </c>
      <c r="AE16" s="4">
        <v>7.94</v>
      </c>
      <c r="AF16" s="4">
        <v>8.0500000000000007</v>
      </c>
      <c r="AG16" s="4">
        <v>7.87</v>
      </c>
      <c r="AH16" s="4">
        <v>7.4</v>
      </c>
      <c r="AI16" s="4">
        <v>7.4</v>
      </c>
      <c r="AJ16" s="4">
        <v>7.39</v>
      </c>
      <c r="AK16" s="4">
        <v>7.07</v>
      </c>
      <c r="AL16" s="4">
        <v>7.2</v>
      </c>
      <c r="AM16" s="4">
        <v>6.8</v>
      </c>
      <c r="AN16" s="4">
        <v>8.2899999999999991</v>
      </c>
      <c r="AO16" s="4">
        <v>8.33</v>
      </c>
      <c r="AP16" s="4">
        <v>9.48</v>
      </c>
      <c r="AQ16" s="4">
        <v>9.1</v>
      </c>
      <c r="AR16" s="4">
        <v>9.0399999999999991</v>
      </c>
      <c r="AS16" s="4">
        <v>9</v>
      </c>
      <c r="AT16" s="4">
        <v>9.35</v>
      </c>
      <c r="AU16" s="4">
        <v>9.0249999999999986</v>
      </c>
      <c r="AV16" s="4">
        <v>9.19</v>
      </c>
      <c r="AW16" s="4">
        <v>8.77</v>
      </c>
      <c r="AX16" s="4">
        <v>9.07</v>
      </c>
      <c r="AY16" s="12">
        <v>9</v>
      </c>
      <c r="AZ16" s="12">
        <v>8.99</v>
      </c>
      <c r="BA16" s="12">
        <v>9.18</v>
      </c>
      <c r="BB16" s="18">
        <v>9.24</v>
      </c>
      <c r="BC16" s="63">
        <v>8.73</v>
      </c>
      <c r="BD16" s="63">
        <v>8.8000000000000007</v>
      </c>
      <c r="BE16" s="63">
        <v>8.92</v>
      </c>
      <c r="BF16" s="63">
        <v>8.89</v>
      </c>
      <c r="BG16" s="91" cm="1">
        <f t="array" aca="1" ref="BG16" ca="1">_FV(EE16,"Preço")</f>
        <v>8.64</v>
      </c>
      <c r="BH16" s="93" t="s">
        <v>14</v>
      </c>
      <c r="BI16" s="32" cm="1">
        <f t="array" aca="1" ref="BI16" ca="1">_FV(EE16,"Beta")</f>
        <v>1.1634</v>
      </c>
      <c r="BJ16" s="96" cm="1">
        <f t="array" aca="1" ref="BJ16" ca="1">_FV(EE16,"Variação (%)",TRUE)</f>
        <v>-3.4599999999999995E-3</v>
      </c>
      <c r="BK16" s="49"/>
      <c r="BL16" s="49"/>
      <c r="BN16" s="32"/>
      <c r="BO16" s="20" cm="1">
        <f t="array" aca="1" ref="BO16" ca="1">_FV(EE16,"Baixo")</f>
        <v>8.64</v>
      </c>
      <c r="BP16" s="20" cm="1">
        <f t="array" aca="1" ref="BP16" ca="1">_FV(EE16,"Alto")</f>
        <v>8.6999999999999993</v>
      </c>
      <c r="BQ16" s="32"/>
      <c r="BR16" s="74">
        <f ca="1">SQRT(22.5*(BG16/VLOOKUP(BH16,Fundamentus!A:U,3,FALSE))*(BG16/VLOOKUP(BH16,Fundamentus!A:U,4,FALSE)))</f>
        <v>4.5614719613850632</v>
      </c>
      <c r="BT16" s="73">
        <f t="shared" ca="1" si="0"/>
        <v>-2.8121484814398197E-2</v>
      </c>
      <c r="BU16" s="36">
        <f t="shared" si="1"/>
        <v>-9.8989898989899031E-2</v>
      </c>
      <c r="BV16" s="8"/>
      <c r="BW16" s="72">
        <f t="shared" si="2"/>
        <v>6.8</v>
      </c>
      <c r="BX16" s="72">
        <f t="shared" si="3"/>
        <v>8.8318103448275878</v>
      </c>
      <c r="BY16" s="72">
        <f t="shared" si="4"/>
        <v>10.1</v>
      </c>
      <c r="BZ16" s="17"/>
      <c r="CA16" s="17"/>
      <c r="CB16" s="43">
        <f t="shared" si="5"/>
        <v>8.8317244611058978</v>
      </c>
      <c r="CC16" s="18">
        <f t="shared" si="6"/>
        <v>8.9817244611058982</v>
      </c>
      <c r="CD16" s="43">
        <f t="shared" si="7"/>
        <v>9.1317244611058985</v>
      </c>
      <c r="CE16" s="98">
        <f t="shared" ca="1" si="8"/>
        <v>-2.2781630740393122</v>
      </c>
      <c r="CF16" s="17"/>
      <c r="CG16" s="20">
        <f t="shared" si="9"/>
        <v>3.7933333333333321</v>
      </c>
      <c r="CH16" s="20">
        <f t="shared" si="10"/>
        <v>5.296666666666666</v>
      </c>
      <c r="CI16" s="20">
        <f t="shared" si="11"/>
        <v>7.0933333333333319</v>
      </c>
      <c r="CJ16" s="49">
        <f t="shared" si="12"/>
        <v>8.5966666666666658</v>
      </c>
      <c r="CK16" s="20">
        <f t="shared" si="13"/>
        <v>10.393333333333331</v>
      </c>
      <c r="CL16" s="20">
        <f t="shared" si="14"/>
        <v>11.896666666666665</v>
      </c>
      <c r="CM16" s="20">
        <f t="shared" si="15"/>
        <v>13.693333333333332</v>
      </c>
      <c r="CN16" s="2" cm="1">
        <f t="array" aca="1" ref="CN16" ca="1">MAX(_xlfn._xlws.FILTER(CG16:CM16,CG16:CM16&lt;BG16))</f>
        <v>8.5966666666666658</v>
      </c>
      <c r="CO16" s="2" cm="1">
        <f t="array" aca="1" ref="CO16" ca="1">MIN(_xlfn._xlws.FILTER($CG16:$CM16,$CG16:$CM16&gt;BG16))</f>
        <v>10.393333333333331</v>
      </c>
      <c r="CP16" s="19">
        <f t="shared" ca="1" si="48"/>
        <v>0.20899573478092259</v>
      </c>
      <c r="CQ16" s="23">
        <f t="shared" ca="1" si="49"/>
        <v>-0.1044978673904613</v>
      </c>
      <c r="CR16" s="23">
        <f t="shared" ca="1" si="50"/>
        <v>-6.9665244926974193E-2</v>
      </c>
      <c r="CS16" s="23">
        <f t="shared" ca="1" si="51"/>
        <v>-4.1799146956184516E-2</v>
      </c>
      <c r="CT16" s="23">
        <f t="shared" ca="1" si="52"/>
        <v>-2.3221748308991399E-2</v>
      </c>
      <c r="CU16" s="23">
        <f t="shared" ca="1" si="53"/>
        <v>-1.2293866751818976E-2</v>
      </c>
      <c r="CV16" s="23">
        <f t="shared" ca="1" si="54"/>
        <v>-6.3332040842703817E-3</v>
      </c>
      <c r="CW16" s="23">
        <f t="shared" ca="1" si="55"/>
        <v>-3.2153189966295783E-3</v>
      </c>
      <c r="CX16" s="24">
        <f t="shared" ca="1" si="56"/>
        <v>3.2153189966295783E-3</v>
      </c>
      <c r="CY16" s="24">
        <f t="shared" ca="1" si="57"/>
        <v>6.3332040842703817E-3</v>
      </c>
      <c r="CZ16" s="24">
        <f t="shared" ca="1" si="58"/>
        <v>1.2293866751818976E-2</v>
      </c>
      <c r="DA16" s="24">
        <f t="shared" ca="1" si="59"/>
        <v>2.3221748308991399E-2</v>
      </c>
      <c r="DB16" s="24">
        <f t="shared" ca="1" si="60"/>
        <v>4.1799146956184516E-2</v>
      </c>
      <c r="DC16" s="24">
        <f t="shared" ca="1" si="61"/>
        <v>6.9665244926974193E-2</v>
      </c>
      <c r="DD16" s="24">
        <f t="shared" ca="1" si="62"/>
        <v>0.1044978673904613</v>
      </c>
      <c r="DF16" s="19" cm="1">
        <f t="array" aca="1" ref="DF16" ca="1">MAX(_xlfn._xlws.FILTER(CQ16:DD16,CQ16:DD16&lt;BJ16))</f>
        <v>-6.3332040842703817E-3</v>
      </c>
      <c r="DG16" s="19" cm="1">
        <f t="array" aca="1" ref="DG16" ca="1">MIN(_xlfn._xlws.FILTER(CQ16:DD16,CQ16:DD16&gt;BJ16))</f>
        <v>-3.2153189966295783E-3</v>
      </c>
      <c r="DH16" s="2" cm="1">
        <f t="array" aca="1" ref="DH16" ca="1">_FV(EE16,"Fechamento anterior",TRUE)</f>
        <v>8.67</v>
      </c>
      <c r="DI16" s="36">
        <f t="shared" ca="1" si="22"/>
        <v>0.92145681802136348</v>
      </c>
      <c r="DJ16" s="18">
        <f t="shared" ca="1" si="63"/>
        <v>8.6150911205893763</v>
      </c>
      <c r="DK16" s="18">
        <f t="shared" ca="1" si="64"/>
        <v>8.642123184299221</v>
      </c>
      <c r="DL16" s="9"/>
      <c r="DM16" s="9"/>
      <c r="DN16" s="9"/>
      <c r="DO16" s="9"/>
      <c r="DP16" s="79">
        <v>2.5035765379113041E-2</v>
      </c>
      <c r="DQ16" s="79">
        <v>2.0028612303290436E-2</v>
      </c>
      <c r="DR16" s="79">
        <v>7.8543577659962466E-3</v>
      </c>
      <c r="DS16" s="79">
        <f t="shared" ca="1" si="25"/>
        <v>3.1178850876408034E-3</v>
      </c>
      <c r="DT16" s="47"/>
      <c r="DU16" s="43">
        <f t="shared" si="26"/>
        <v>7.4999999999999858E-2</v>
      </c>
      <c r="DV16" s="83">
        <f t="shared" ca="1" si="27"/>
        <v>1.5894999999999999</v>
      </c>
      <c r="DW16" s="83">
        <f t="shared" ca="1" si="28"/>
        <v>1.5093999999999999</v>
      </c>
      <c r="DX16" s="83">
        <f t="shared" ca="1" si="29"/>
        <v>8.010000000000006E-2</v>
      </c>
      <c r="DY16" s="67"/>
      <c r="DZ16" s="67"/>
      <c r="EA16" s="85"/>
      <c r="EB16" s="44">
        <v>800</v>
      </c>
      <c r="EC16" s="44" cm="1">
        <f t="array" aca="1" ref="EC16" ca="1">_FV(EE16,"Volume")</f>
        <v>200</v>
      </c>
      <c r="EE16" s="2" t="e" vm="16">
        <v>#VALUE!</v>
      </c>
      <c r="EG16" s="10" cm="1">
        <f t="array" aca="1" ref="EG16" ca="1">_FV(EE16,"Ações em circulação",TRUE)</f>
        <v>101983400</v>
      </c>
      <c r="EH16" s="21">
        <f>VLOOKUP(BH16,Fundamentus!A:U,5,FALSE)</f>
        <v>1.8089999999999999</v>
      </c>
      <c r="EI16" s="2">
        <f t="shared" ca="1" si="30"/>
        <v>487084895.5223881</v>
      </c>
      <c r="EJ16" s="20">
        <v>6164499.0822553905</v>
      </c>
      <c r="EK16" s="20">
        <f t="shared" ca="1" si="31"/>
        <v>5991144.2149253739</v>
      </c>
      <c r="EM16" s="40" t="str">
        <f>IF(VLOOKUP(BH16,Fundamentus!A:U,3,FALSE)&lt;15,"Bom",IF(VLOOKUP(BH16,Fundamentus!A:U,3,FALSE)&gt;15,"Ruim","n/a"))</f>
        <v>Ruim</v>
      </c>
      <c r="EN16" s="36" t="str">
        <f>IF(VLOOKUP(BH16,Fundamentus!A:U,4,FALSE)&lt;1,"Baixo",IF(VLOOKUP(BH16,Fundamentus!A:U,4,FALSE)&lt;1.5,"Moderado",IF(VLOOKUP(BH16,Fundamentus!A:U,4,FALSE)&gt;1.5,"Alto","n/a")))</f>
        <v>Baixo</v>
      </c>
      <c r="EO16" s="20" t="str">
        <f>IF(VLOOKUP(BH16,Fundamentus!A:U,8,FALSE)&lt;0,"Risco elevado",IF(VLOOKUP(BH16,Fundamentus!A:U,8,FALSE)&lt;1,"Saudável",IF(VLOOKUP(BH16,Fundamentus!A:U,8,FALSE)&lt;3,"Estável",IF(VLOOKUP(BH16,Fundamentus!A:U,8,FALSE)&gt;3,"Alerta","n/a"))))</f>
        <v>Saudável</v>
      </c>
      <c r="EP16" s="36" t="str">
        <f t="shared" si="32"/>
        <v>Bom</v>
      </c>
      <c r="EQ16" s="20" t="str">
        <f>IF(VLOOKUP(BH16,Fundamentus!A:U,12,FALSE)&lt;2,"Subvalorizada",IF(VLOOKUP(BH16,Fundamentus!A:U,12,FALSE)&lt;6,"Muita barata",IF(VLOOKUP(BH16,Fundamentus!A:U,12,FALSE)&lt;6,"Barata",IF(VLOOKUP(BH16,Fundamentus!A:U,12,FALSE)&lt;8,"Atrativa",IF(VLOOKUP(BH16,Fundamentus!A:U,12,FALSE)&gt;8,"Supervalorizada","n/a")))))</f>
        <v>Supervalorizada</v>
      </c>
      <c r="ES16" s="20" t="str">
        <f>IF(VLOOKUP(BH16,Fundamentus!A:U,17,FALSE)&lt;0.1,"Fraco retorno",IF(VLOOKUP(BH16,Fundamentus!A:U,17,FALSE)&gt;0.1,"Bom retorno","n/a"))</f>
        <v>Fraco retorno</v>
      </c>
      <c r="ET16" s="20" t="str">
        <f>IF(VLOOKUP(BH16,Fundamentus!A:U,16,FALSE)&lt;0.1,"Ineficiente",IF(VLOOKUP(BH16,Fundamentus!A:U,16,FALSE)&gt;0.1,"Eficiente","n/a"))</f>
        <v>Ineficiente</v>
      </c>
      <c r="EU16" s="41" t="str">
        <f>IF(VLOOKUP(BH16,Fundamentus!A:U,16,FALSE)&lt;0.1,"Oper. Ineficiente",IF(VLOOKUP(BH16,Fundamentus!A:U,16,FALSE)&gt;0.1,"Oper.Eficiente","n/a"))</f>
        <v>Oper. Ineficiente</v>
      </c>
      <c r="EV16" s="42">
        <f>VLOOKUP(BH16,Fundamentus!A:U,14,FALSE)</f>
        <v>1.23E-2</v>
      </c>
      <c r="EW16" s="20" t="str">
        <f>IF(VLOOKUP(BH16,Fundamentus!A:U,21,FALSE)&lt;0,"Negativo",IF(VLOOKUP(BH16,Fundamentus!A:U,21,FALSE)&lt;0.05,"Fraco",IF(VLOOKUP(BH16,Fundamentus!A:U,21,FALSE)&lt;0.1,"Bom",IF(VLOOKUP(BH16,Fundamentus!A:U,21,FALSE)&gt;0.1,"Muito bom","n/a"))))</f>
        <v>Muito bom</v>
      </c>
      <c r="EY16" s="37" t="str">
        <f>IF(VLOOKUP(BH16,Fundamentus!A:U,15,FALSE)&gt;1,"Bom",IF(VLOOKUP(BH16,Fundamentus!A:U,15,FALSE)&lt;1,"Ruim","n/a"))</f>
        <v>Bom</v>
      </c>
      <c r="EZ16" s="20" t="str">
        <f>IF(VLOOKUP(BH16,Fundamentus!A:U,20,FALSE)&lt;0.5,"Baixa",IF(VLOOKUP(BH16,Fundamentus!A:U,20,FALSE)&lt;1,"Moderada",IF(VLOOKUP(BH16,Fundamentus!A:U,20,FALSE)&lt;2,"Alerta",IF(VLOOKUP(BH16,Fundamentus!A:U,20,FALSE)&gt;2,"Alta","n/a"))))</f>
        <v>Baixa</v>
      </c>
    </row>
    <row r="17" spans="1:157" s="2" customFormat="1" ht="11.25" hidden="1" x14ac:dyDescent="0.2">
      <c r="A17" s="4">
        <v>39.89</v>
      </c>
      <c r="B17" s="4">
        <v>41.67</v>
      </c>
      <c r="C17" s="4">
        <v>36.69</v>
      </c>
      <c r="D17" s="4">
        <v>36.590000000000003</v>
      </c>
      <c r="E17" s="4">
        <v>38.76</v>
      </c>
      <c r="F17" s="4">
        <v>36.94</v>
      </c>
      <c r="G17" s="4">
        <v>34.68</v>
      </c>
      <c r="H17" s="4">
        <v>36.72</v>
      </c>
      <c r="I17" s="4">
        <v>38.08</v>
      </c>
      <c r="J17" s="4">
        <v>37.520000000000003</v>
      </c>
      <c r="K17" s="4">
        <v>38.15</v>
      </c>
      <c r="L17" s="4">
        <v>38.69</v>
      </c>
      <c r="M17" s="4">
        <v>37.64</v>
      </c>
      <c r="N17" s="4">
        <v>35.729999999999997</v>
      </c>
      <c r="O17" s="4">
        <v>36.51</v>
      </c>
      <c r="P17" s="4">
        <v>38.51</v>
      </c>
      <c r="Q17" s="4">
        <v>36.89</v>
      </c>
      <c r="R17" s="4">
        <v>39.369999999999997</v>
      </c>
      <c r="S17" s="4">
        <v>37.549999999999997</v>
      </c>
      <c r="T17" s="4">
        <v>36.700000000000003</v>
      </c>
      <c r="U17" s="4">
        <v>36.26</v>
      </c>
      <c r="V17" s="4">
        <v>36.11</v>
      </c>
      <c r="W17" s="4">
        <v>37.840000000000003</v>
      </c>
      <c r="X17" s="4">
        <v>37.619999999999997</v>
      </c>
      <c r="Y17" s="4">
        <v>36.08</v>
      </c>
      <c r="Z17" s="4">
        <v>36.15</v>
      </c>
      <c r="AA17" s="4">
        <v>35.42</v>
      </c>
      <c r="AB17" s="4">
        <v>36.17</v>
      </c>
      <c r="AC17" s="4">
        <v>37.270000000000003</v>
      </c>
      <c r="AD17" s="4">
        <v>39.42</v>
      </c>
      <c r="AE17" s="4">
        <v>38.82</v>
      </c>
      <c r="AF17" s="4">
        <v>39.03</v>
      </c>
      <c r="AG17" s="4">
        <v>38.1</v>
      </c>
      <c r="AH17" s="4">
        <v>36.86</v>
      </c>
      <c r="AI17" s="4">
        <v>35.659999999999997</v>
      </c>
      <c r="AJ17" s="4">
        <v>36.380000000000003</v>
      </c>
      <c r="AK17" s="4">
        <v>36.94</v>
      </c>
      <c r="AL17" s="4">
        <v>37.200000000000003</v>
      </c>
      <c r="AM17" s="4">
        <v>36.64</v>
      </c>
      <c r="AN17" s="4">
        <v>37.69</v>
      </c>
      <c r="AO17" s="4">
        <v>36.58</v>
      </c>
      <c r="AP17" s="4">
        <v>37.44</v>
      </c>
      <c r="AQ17" s="4">
        <v>38.39</v>
      </c>
      <c r="AR17" s="4">
        <v>35.93</v>
      </c>
      <c r="AS17" s="4">
        <v>34.630000000000003</v>
      </c>
      <c r="AT17" s="4">
        <v>35.5</v>
      </c>
      <c r="AU17" s="4">
        <v>36.604999999999997</v>
      </c>
      <c r="AV17" s="4">
        <v>37.43</v>
      </c>
      <c r="AW17" s="4">
        <v>34.549999999999997</v>
      </c>
      <c r="AX17" s="4">
        <v>31.85</v>
      </c>
      <c r="AY17" s="12">
        <v>30.85</v>
      </c>
      <c r="AZ17" s="12">
        <v>30.52</v>
      </c>
      <c r="BA17" s="12">
        <v>29.99</v>
      </c>
      <c r="BB17" s="18">
        <v>30.71</v>
      </c>
      <c r="BC17" s="63">
        <v>31.87</v>
      </c>
      <c r="BD17" s="63">
        <v>31.4</v>
      </c>
      <c r="BE17" s="63">
        <v>30.9</v>
      </c>
      <c r="BF17" s="63">
        <v>29.63</v>
      </c>
      <c r="BG17" s="91" cm="1">
        <f t="array" aca="1" ref="BG17" ca="1">_FV(EE17,"Preço")</f>
        <v>32.53</v>
      </c>
      <c r="BH17" s="93" t="s">
        <v>15</v>
      </c>
      <c r="BI17" s="32" cm="1">
        <f t="array" aca="1" ref="BI17" ca="1">_FV(EE17,"Beta")</f>
        <v>0.99929999999999997</v>
      </c>
      <c r="BJ17" s="96" cm="1">
        <f t="array" aca="1" ref="BJ17" ca="1">_FV(EE17,"Variação (%)",TRUE)</f>
        <v>2.4567000000000002E-2</v>
      </c>
      <c r="BK17" s="49"/>
      <c r="BL17" s="49"/>
      <c r="BN17" s="32"/>
      <c r="BO17" s="20" cm="1">
        <f t="array" aca="1" ref="BO17" ca="1">_FV(EE17,"Baixo")</f>
        <v>32.17</v>
      </c>
      <c r="BP17" s="20" cm="1">
        <f t="array" aca="1" ref="BP17" ca="1">_FV(EE17,"Alto")</f>
        <v>33.17</v>
      </c>
      <c r="BQ17" s="32"/>
      <c r="BR17" s="74">
        <f ca="1">SQRT(22.5*(BG17/VLOOKUP(BH17,Fundamentus!A:U,3,FALSE))*(BG17/VLOOKUP(BH17,Fundamentus!A:U,4,FALSE)))</f>
        <v>56.173105308671381</v>
      </c>
      <c r="BT17" s="73">
        <f t="shared" ca="1" si="0"/>
        <v>9.7873776577792851E-2</v>
      </c>
      <c r="BU17" s="36">
        <f t="shared" si="1"/>
        <v>-0.22536976685886193</v>
      </c>
      <c r="BV17" s="8"/>
      <c r="BW17" s="72">
        <f t="shared" si="2"/>
        <v>29.63</v>
      </c>
      <c r="BX17" s="72">
        <f t="shared" si="3"/>
        <v>36.201982758620694</v>
      </c>
      <c r="BY17" s="72">
        <f t="shared" si="4"/>
        <v>41.67</v>
      </c>
      <c r="BZ17" s="17"/>
      <c r="CA17" s="17"/>
      <c r="CB17" s="43">
        <f t="shared" si="5"/>
        <v>27.53580630523469</v>
      </c>
      <c r="CC17" s="18">
        <f t="shared" si="6"/>
        <v>29.207272727272539</v>
      </c>
      <c r="CD17" s="43">
        <f t="shared" si="7"/>
        <v>30.878739149310388</v>
      </c>
      <c r="CE17" s="98">
        <f t="shared" ca="1" si="8"/>
        <v>1.9879114703820371</v>
      </c>
      <c r="CF17" s="17"/>
      <c r="CG17" s="20">
        <f t="shared" si="9"/>
        <v>13.576666666666657</v>
      </c>
      <c r="CH17" s="20">
        <f t="shared" si="10"/>
        <v>21.603333333333328</v>
      </c>
      <c r="CI17" s="20">
        <f t="shared" si="11"/>
        <v>25.61666666666666</v>
      </c>
      <c r="CJ17" s="49">
        <f t="shared" si="12"/>
        <v>33.643333333333331</v>
      </c>
      <c r="CK17" s="20">
        <f t="shared" si="13"/>
        <v>37.656666666666666</v>
      </c>
      <c r="CL17" s="20">
        <f t="shared" si="14"/>
        <v>45.683333333333337</v>
      </c>
      <c r="CM17" s="20">
        <f t="shared" si="15"/>
        <v>49.696666666666665</v>
      </c>
      <c r="CN17" s="2" cm="1">
        <f t="array" aca="1" ref="CN17" ca="1">MAX(_xlfn._xlws.FILTER(CG17:CM17,CG17:CM17&lt;BG17))</f>
        <v>25.61666666666666</v>
      </c>
      <c r="CO17" s="2" cm="1">
        <f t="array" aca="1" ref="CO17" ca="1">MIN(_xlfn._xlws.FILTER($CG17:$CM17,$CG17:$CM17&gt;BG17))</f>
        <v>33.643333333333331</v>
      </c>
      <c r="CP17" s="19">
        <f t="shared" ca="1" si="48"/>
        <v>0.31333767078724817</v>
      </c>
      <c r="CQ17" s="23">
        <f t="shared" ca="1" si="49"/>
        <v>-0.15666883539362408</v>
      </c>
      <c r="CR17" s="23">
        <f t="shared" ca="1" si="50"/>
        <v>-0.10444589026241606</v>
      </c>
      <c r="CS17" s="23">
        <f t="shared" ca="1" si="51"/>
        <v>-6.2667534157449634E-2</v>
      </c>
      <c r="CT17" s="23">
        <f t="shared" ca="1" si="52"/>
        <v>-3.4815296754138685E-2</v>
      </c>
      <c r="CU17" s="23">
        <f t="shared" ca="1" si="53"/>
        <v>-1.843162769336754E-2</v>
      </c>
      <c r="CV17" s="23">
        <f t="shared" ca="1" si="54"/>
        <v>-9.4950809329469137E-3</v>
      </c>
      <c r="CW17" s="23">
        <f t="shared" ca="1" si="55"/>
        <v>-4.8205795505730491E-3</v>
      </c>
      <c r="CX17" s="24">
        <f t="shared" ca="1" si="56"/>
        <v>4.8205795505730491E-3</v>
      </c>
      <c r="CY17" s="24">
        <f t="shared" ca="1" si="57"/>
        <v>9.4950809329469137E-3</v>
      </c>
      <c r="CZ17" s="24">
        <f t="shared" ca="1" si="58"/>
        <v>1.843162769336754E-2</v>
      </c>
      <c r="DA17" s="24">
        <f t="shared" ca="1" si="59"/>
        <v>3.4815296754138685E-2</v>
      </c>
      <c r="DB17" s="24">
        <f t="shared" ca="1" si="60"/>
        <v>6.2667534157449634E-2</v>
      </c>
      <c r="DC17" s="24">
        <f t="shared" ca="1" si="61"/>
        <v>0.10444589026241606</v>
      </c>
      <c r="DD17" s="24">
        <f t="shared" ca="1" si="62"/>
        <v>0.15666883539362408</v>
      </c>
      <c r="DF17" s="19" cm="1">
        <f t="array" aca="1" ref="DF17" ca="1">MAX(_xlfn._xlws.FILTER(CQ17:DD17,CQ17:DD17&lt;BJ17))</f>
        <v>1.843162769336754E-2</v>
      </c>
      <c r="DG17" s="19" cm="1">
        <f t="array" aca="1" ref="DG17" ca="1">MIN(_xlfn._xlws.FILTER(CQ17:DD17,CQ17:DD17&gt;BJ17))</f>
        <v>3.4815296754138685E-2</v>
      </c>
      <c r="DH17" s="2" cm="1">
        <f t="array" aca="1" ref="DH17" ca="1">_FV(EE17,"Fechamento anterior",TRUE)</f>
        <v>31.75</v>
      </c>
      <c r="DI17" s="36">
        <f t="shared" ca="1" si="22"/>
        <v>0.37447664608783771</v>
      </c>
      <c r="DJ17" s="18">
        <f t="shared" ca="1" si="63"/>
        <v>32.335204179264423</v>
      </c>
      <c r="DK17" s="18">
        <f t="shared" ca="1" si="64"/>
        <v>32.855385671943907</v>
      </c>
      <c r="DL17" s="9"/>
      <c r="DM17" s="9"/>
      <c r="DN17" s="9"/>
      <c r="DO17" s="9"/>
      <c r="DP17" s="79">
        <v>8.6786041040386851E-3</v>
      </c>
      <c r="DQ17" s="79">
        <v>8.0443389199645575E-3</v>
      </c>
      <c r="DR17" s="79">
        <v>8.4721876931500868E-3</v>
      </c>
      <c r="DS17" s="79">
        <f t="shared" ca="1" si="25"/>
        <v>1.6383669060771145E-2</v>
      </c>
      <c r="DT17" s="47"/>
      <c r="DU17" s="43">
        <f t="shared" si="26"/>
        <v>0.83573321101892362</v>
      </c>
      <c r="DV17" s="83">
        <f t="shared" ca="1" si="27"/>
        <v>1.4254</v>
      </c>
      <c r="DW17" s="83">
        <f t="shared" ca="1" si="28"/>
        <v>-1.4574000000000003</v>
      </c>
      <c r="DX17" s="83">
        <f t="shared" ca="1" si="29"/>
        <v>2.8828000000000005</v>
      </c>
      <c r="DY17" s="67"/>
      <c r="DZ17" s="67"/>
      <c r="EA17" s="85"/>
      <c r="EB17" s="44">
        <v>28256000</v>
      </c>
      <c r="EC17" s="44" cm="1">
        <f t="array" aca="1" ref="EC17" ca="1">_FV(EE17,"Volume")</f>
        <v>74819900</v>
      </c>
      <c r="EE17" s="2" t="e" vm="17">
        <v>#VALUE!</v>
      </c>
      <c r="EG17" s="10" cm="1">
        <f t="array" aca="1" ref="EG17" ca="1">_FV(EE17,"Ações em circulação",TRUE)</f>
        <v>12888730000</v>
      </c>
      <c r="EH17" s="21">
        <f>VLOOKUP(BH17,Fundamentus!A:U,5,FALSE)</f>
        <v>0.76300000000000001</v>
      </c>
      <c r="EI17" s="2">
        <f t="shared" ca="1" si="30"/>
        <v>549502473001.31061</v>
      </c>
      <c r="EJ17" s="20">
        <v>48950383009.462646</v>
      </c>
      <c r="EK17" s="20">
        <f t="shared" ca="1" si="31"/>
        <v>53741341859.528175</v>
      </c>
      <c r="EM17" s="40" t="str">
        <f>IF(VLOOKUP(BH17,Fundamentus!A:U,3,FALSE)&lt;15,"Bom",IF(VLOOKUP(BH17,Fundamentus!A:U,3,FALSE)&gt;15,"Ruim","n/a"))</f>
        <v>Bom</v>
      </c>
      <c r="EN17" s="36" t="str">
        <f>IF(VLOOKUP(BH17,Fundamentus!A:U,4,FALSE)&lt;1,"Baixo",IF(VLOOKUP(BH17,Fundamentus!A:U,4,FALSE)&lt;1.5,"Moderado",IF(VLOOKUP(BH17,Fundamentus!A:U,4,FALSE)&gt;1.5,"Alto","n/a")))</f>
        <v>Baixo</v>
      </c>
      <c r="EO17" s="20" t="str">
        <f>IF(VLOOKUP(BH17,Fundamentus!A:U,8,FALSE)&lt;0,"Risco elevado",IF(VLOOKUP(BH17,Fundamentus!A:U,8,FALSE)&lt;1,"Saudável",IF(VLOOKUP(BH17,Fundamentus!A:U,8,FALSE)&lt;3,"Estável",IF(VLOOKUP(BH17,Fundamentus!A:U,8,FALSE)&gt;3,"Alerta","n/a"))))</f>
        <v>Risco elevado</v>
      </c>
      <c r="EP17" s="36" t="str">
        <f t="shared" si="32"/>
        <v>Ruim</v>
      </c>
      <c r="EQ17" s="20" t="str">
        <f>IF(VLOOKUP(BH17,Fundamentus!A:U,12,FALSE)&lt;2,"Subvalorizada",IF(VLOOKUP(BH17,Fundamentus!A:U,12,FALSE)&lt;6,"Muita barata",IF(VLOOKUP(BH17,Fundamentus!A:U,12,FALSE)&lt;6,"Barata",IF(VLOOKUP(BH17,Fundamentus!A:U,12,FALSE)&lt;8,"Atrativa",IF(VLOOKUP(BH17,Fundamentus!A:U,12,FALSE)&gt;8,"Supervalorizada","n/a")))))</f>
        <v>Muita barata</v>
      </c>
      <c r="ES17" s="20" t="str">
        <f>IF(VLOOKUP(BH17,Fundamentus!A:U,17,FALSE)&lt;0.1,"Fraco retorno",IF(VLOOKUP(BH17,Fundamentus!A:U,17,FALSE)&gt;0.1,"Bom retorno","n/a"))</f>
        <v>Bom retorno</v>
      </c>
      <c r="ET17" s="20" t="str">
        <f>IF(VLOOKUP(BH17,Fundamentus!A:U,16,FALSE)&lt;0.1,"Ineficiente",IF(VLOOKUP(BH17,Fundamentus!A:U,16,FALSE)&gt;0.1,"Eficiente","n/a"))</f>
        <v>Eficiente</v>
      </c>
      <c r="EU17" s="41" t="str">
        <f>IF(VLOOKUP(BH17,Fundamentus!A:U,16,FALSE)&lt;0.1,"Oper. Ineficiente",IF(VLOOKUP(BH17,Fundamentus!A:U,16,FALSE)&gt;0.1,"Oper.Eficiente","n/a"))</f>
        <v>Oper.Eficiente</v>
      </c>
      <c r="EV17" s="42">
        <f>VLOOKUP(BH17,Fundamentus!A:U,14,FALSE)</f>
        <v>9.7799999999999998E-2</v>
      </c>
      <c r="EW17" s="20" t="str">
        <f>IF(VLOOKUP(BH17,Fundamentus!A:U,21,FALSE)&lt;0,"Negativo",IF(VLOOKUP(BH17,Fundamentus!A:U,21,FALSE)&lt;0.05,"Fraco",IF(VLOOKUP(BH17,Fundamentus!A:U,21,FALSE)&lt;0.1,"Bom",IF(VLOOKUP(BH17,Fundamentus!A:U,21,FALSE)&gt;0.1,"Muito bom","n/a"))))</f>
        <v>Muito bom</v>
      </c>
      <c r="EY17" s="37" t="str">
        <f>IF(VLOOKUP(BH17,Fundamentus!A:U,15,FALSE)&gt;1,"Bom",IF(VLOOKUP(BH17,Fundamentus!A:U,15,FALSE)&lt;1,"Ruim","n/a"))</f>
        <v>Ruim</v>
      </c>
      <c r="EZ17" s="20" t="str">
        <f>IF(VLOOKUP(BH17,Fundamentus!A:U,20,FALSE)&lt;0.5,"Baixa",IF(VLOOKUP(BH17,Fundamentus!A:U,20,FALSE)&lt;1,"Moderada",IF(VLOOKUP(BH17,Fundamentus!A:U,20,FALSE)&lt;2,"Alerta",IF(VLOOKUP(BH17,Fundamentus!A:U,20,FALSE)&gt;2,"Alta","n/a"))))</f>
        <v>Moderada</v>
      </c>
    </row>
    <row r="18" spans="1:157" s="2" customFormat="1" ht="11.25" hidden="1" x14ac:dyDescent="0.2">
      <c r="A18" s="4">
        <v>13.53</v>
      </c>
      <c r="B18" s="4">
        <v>13.45</v>
      </c>
      <c r="C18" s="4">
        <v>13.63</v>
      </c>
      <c r="D18" s="4">
        <v>12.95</v>
      </c>
      <c r="E18" s="4">
        <v>12.09</v>
      </c>
      <c r="F18" s="4">
        <v>12</v>
      </c>
      <c r="G18" s="4">
        <v>11.66</v>
      </c>
      <c r="H18" s="4">
        <v>10.79</v>
      </c>
      <c r="I18" s="4">
        <v>10.3</v>
      </c>
      <c r="J18" s="4">
        <v>11.45</v>
      </c>
      <c r="K18" s="4">
        <v>11.24</v>
      </c>
      <c r="L18" s="4">
        <v>10.54</v>
      </c>
      <c r="M18" s="4">
        <v>9.84</v>
      </c>
      <c r="N18" s="4">
        <v>10.199999999999999</v>
      </c>
      <c r="O18" s="4">
        <v>10.27</v>
      </c>
      <c r="P18" s="4">
        <v>10.25</v>
      </c>
      <c r="Q18" s="4">
        <v>9.73</v>
      </c>
      <c r="R18" s="4">
        <v>9.57</v>
      </c>
      <c r="S18" s="4">
        <v>9.4499999999999993</v>
      </c>
      <c r="T18" s="4">
        <v>8.8000000000000007</v>
      </c>
      <c r="U18" s="4">
        <v>7.7</v>
      </c>
      <c r="V18" s="4">
        <v>8.1199999999999992</v>
      </c>
      <c r="W18" s="4">
        <v>6.97</v>
      </c>
      <c r="X18" s="4">
        <v>6.72</v>
      </c>
      <c r="Y18" s="4">
        <v>7.23</v>
      </c>
      <c r="Z18" s="4">
        <v>7.27</v>
      </c>
      <c r="AA18" s="4">
        <v>7.33</v>
      </c>
      <c r="AB18" s="4">
        <v>7</v>
      </c>
      <c r="AC18" s="4">
        <v>7.06</v>
      </c>
      <c r="AD18" s="4">
        <v>7.2</v>
      </c>
      <c r="AE18" s="4">
        <v>6.6</v>
      </c>
      <c r="AF18" s="4">
        <v>6.16</v>
      </c>
      <c r="AG18" s="4">
        <v>5.75</v>
      </c>
      <c r="AH18" s="4">
        <v>5.79</v>
      </c>
      <c r="AI18" s="4">
        <v>5.73</v>
      </c>
      <c r="AJ18" s="4">
        <v>5.42</v>
      </c>
      <c r="AK18" s="4">
        <v>5.62</v>
      </c>
      <c r="AL18" s="4">
        <v>5.82</v>
      </c>
      <c r="AM18" s="4">
        <v>6.15</v>
      </c>
      <c r="AN18" s="4">
        <v>6.74</v>
      </c>
      <c r="AO18" s="4">
        <v>7.06</v>
      </c>
      <c r="AP18" s="4">
        <v>7.48</v>
      </c>
      <c r="AQ18" s="4">
        <v>6.94</v>
      </c>
      <c r="AR18" s="4">
        <v>6.67</v>
      </c>
      <c r="AS18" s="4">
        <v>6.8</v>
      </c>
      <c r="AT18" s="4">
        <v>7.55</v>
      </c>
      <c r="AU18" s="4">
        <v>7.7</v>
      </c>
      <c r="AV18" s="4">
        <v>7.88</v>
      </c>
      <c r="AW18" s="4">
        <v>7.98</v>
      </c>
      <c r="AX18" s="4">
        <v>8.3000000000000007</v>
      </c>
      <c r="AY18" s="12">
        <v>8.26</v>
      </c>
      <c r="AZ18" s="12">
        <v>9.24</v>
      </c>
      <c r="BA18" s="12">
        <v>9.19</v>
      </c>
      <c r="BB18" s="18">
        <v>9.4</v>
      </c>
      <c r="BC18" s="63">
        <v>9.64</v>
      </c>
      <c r="BD18" s="63">
        <v>10.050000000000001</v>
      </c>
      <c r="BE18" s="63">
        <v>11.22</v>
      </c>
      <c r="BF18" s="63">
        <v>11.21</v>
      </c>
      <c r="BG18" s="91" cm="1">
        <f t="array" aca="1" ref="BG18" ca="1">_FV(EE18,"Preço")</f>
        <v>10.91</v>
      </c>
      <c r="BH18" s="93" t="s">
        <v>182</v>
      </c>
      <c r="BI18" s="32" cm="1">
        <f t="array" aca="1" ref="BI18" ca="1">_FV(EE18,"Beta")</f>
        <v>1.4248000000000001</v>
      </c>
      <c r="BJ18" s="96" cm="1">
        <f t="array" aca="1" ref="BJ18" ca="1">_FV(EE18,"Variação (%)",TRUE)</f>
        <v>-2.5893000000000003E-2</v>
      </c>
      <c r="BK18" s="94"/>
      <c r="BL18" s="94"/>
      <c r="BN18" s="32"/>
      <c r="BO18" s="20" cm="1">
        <f t="array" aca="1" ref="BO18" ca="1">_FV(EE18,"Baixo")</f>
        <v>10.71</v>
      </c>
      <c r="BP18" s="20" cm="1">
        <f t="array" aca="1" ref="BP18" ca="1">_FV(EE18,"Alto")</f>
        <v>11.15</v>
      </c>
      <c r="BQ18" s="32"/>
      <c r="BR18" s="74">
        <f ca="1">SQRT(22.5*(BG18/VLOOKUP(BH18,Fundamentus!A:U,3,FALSE))*(BG18/VLOOKUP(BH18,Fundamentus!A:U,4,FALSE)))</f>
        <v>6.9882952656383415</v>
      </c>
      <c r="BT18" s="73">
        <f t="shared" ca="1" si="0"/>
        <v>-2.6761819803746718E-2</v>
      </c>
      <c r="BU18" s="36">
        <f t="shared" si="1"/>
        <v>-0.17073170731707307</v>
      </c>
      <c r="BV18" s="8"/>
      <c r="BW18" s="72">
        <f t="shared" si="2"/>
        <v>5.42</v>
      </c>
      <c r="BX18" s="72">
        <f t="shared" si="3"/>
        <v>8.7360344827586225</v>
      </c>
      <c r="BY18" s="72">
        <f t="shared" si="4"/>
        <v>13.63</v>
      </c>
      <c r="BZ18" s="17"/>
      <c r="CA18" s="17"/>
      <c r="CB18" s="43">
        <f t="shared" si="5"/>
        <v>10.558293324428817</v>
      </c>
      <c r="CC18" s="18">
        <f t="shared" si="6"/>
        <v>11.958650421743641</v>
      </c>
      <c r="CD18" s="43">
        <f t="shared" si="7"/>
        <v>13.359007519058466</v>
      </c>
      <c r="CE18" s="98">
        <f t="shared" ca="1" si="8"/>
        <v>-0.74884500800147447</v>
      </c>
      <c r="CF18" s="17"/>
      <c r="CG18" s="20">
        <f t="shared" si="9"/>
        <v>-1.6666666666666661</v>
      </c>
      <c r="CH18" s="20">
        <f t="shared" si="10"/>
        <v>1.8766666666666669</v>
      </c>
      <c r="CI18" s="20">
        <f t="shared" si="11"/>
        <v>6.5433333333333348</v>
      </c>
      <c r="CJ18" s="49">
        <f t="shared" si="12"/>
        <v>10.086666666666668</v>
      </c>
      <c r="CK18" s="20">
        <f t="shared" si="13"/>
        <v>14.753333333333336</v>
      </c>
      <c r="CL18" s="20">
        <f t="shared" si="14"/>
        <v>18.296666666666667</v>
      </c>
      <c r="CM18" s="20">
        <f t="shared" si="15"/>
        <v>22.963333333333338</v>
      </c>
      <c r="CN18" s="2" cm="1">
        <f t="array" aca="1" ref="CN18" ca="1">MAX(_xlfn._xlws.FILTER(CG18:CM18,CG18:CM18&lt;BG18))</f>
        <v>10.086666666666668</v>
      </c>
      <c r="CO18" s="2" cm="1">
        <f t="array" aca="1" ref="CO18" ca="1">MIN(_xlfn._xlws.FILTER($CG18:$CM18,$CG18:$CM18&gt;BG18))</f>
        <v>14.753333333333336</v>
      </c>
      <c r="CP18" s="19">
        <f t="shared" ref="CP18:CP49" ca="1" si="65">(CO18/CN18)-1</f>
        <v>0.46265697290152019</v>
      </c>
      <c r="CQ18" s="23">
        <f t="shared" ref="CQ18:CQ49" ca="1" si="66">-$CP18/2</f>
        <v>-0.2313284864507601</v>
      </c>
      <c r="CR18" s="23">
        <f t="shared" ref="CR18:CR49" ca="1" si="67">-$CP18/3</f>
        <v>-0.1542189909671734</v>
      </c>
      <c r="CS18" s="23">
        <f t="shared" ref="CS18:CS49" ca="1" si="68">-$CP18/5</f>
        <v>-9.2531394580304044E-2</v>
      </c>
      <c r="CT18" s="23">
        <f t="shared" ref="CT18:CT49" ca="1" si="69">-$CP18/9</f>
        <v>-5.1406330322391135E-2</v>
      </c>
      <c r="CU18" s="23">
        <f t="shared" ref="CU18:CU49" ca="1" si="70">-$CP18/17</f>
        <v>-2.7215116053030598E-2</v>
      </c>
      <c r="CV18" s="23">
        <f t="shared" ref="CV18:CV49" ca="1" si="71">-$CP18/33</f>
        <v>-1.4019908269743036E-2</v>
      </c>
      <c r="CW18" s="23">
        <f t="shared" ref="CW18:CW49" ca="1" si="72">-$CP18/65</f>
        <v>-7.1177995831003104E-3</v>
      </c>
      <c r="CX18" s="24">
        <f t="shared" ref="CX18:CX49" ca="1" si="73">-$CP18/65*-1</f>
        <v>7.1177995831003104E-3</v>
      </c>
      <c r="CY18" s="24">
        <f t="shared" ref="CY18:CY49" ca="1" si="74">-$CP18/33*-1</f>
        <v>1.4019908269743036E-2</v>
      </c>
      <c r="CZ18" s="24">
        <f t="shared" ref="CZ18:CZ49" ca="1" si="75">-$CP18/17*-1</f>
        <v>2.7215116053030598E-2</v>
      </c>
      <c r="DA18" s="24">
        <f t="shared" ref="DA18:DA49" ca="1" si="76">-$CP18/9*-1</f>
        <v>5.1406330322391135E-2</v>
      </c>
      <c r="DB18" s="24">
        <f t="shared" ref="DB18:DB49" ca="1" si="77">-$CP18/5*-1</f>
        <v>9.2531394580304044E-2</v>
      </c>
      <c r="DC18" s="24">
        <f t="shared" ref="DC18:DC49" ca="1" si="78">-$CP18/3*-1</f>
        <v>0.1542189909671734</v>
      </c>
      <c r="DD18" s="24">
        <f t="shared" ref="DD18:DD49" ca="1" si="79">-$CP18/2*-1</f>
        <v>0.2313284864507601</v>
      </c>
      <c r="DF18" s="19" cm="1">
        <f t="array" aca="1" ref="DF18" ca="1">MAX(_xlfn._xlws.FILTER(CQ18:DD18,CQ18:DD18&lt;BJ18))</f>
        <v>-2.7215116053030598E-2</v>
      </c>
      <c r="DG18" s="19" cm="1">
        <f t="array" aca="1" ref="DG18" ca="1">MIN(_xlfn._xlws.FILTER(CQ18:DD18,CQ18:DD18&gt;BJ18))</f>
        <v>-1.4019908269743036E-2</v>
      </c>
      <c r="DH18" s="2" cm="1">
        <f t="array" aca="1" ref="DH18" ca="1">_FV(EE18,"Fechamento anterior",TRUE)</f>
        <v>11.2</v>
      </c>
      <c r="DI18" s="36">
        <f t="shared" ca="1" si="22"/>
        <v>0.10020750956633537</v>
      </c>
      <c r="DJ18" s="18">
        <f t="shared" ref="DJ18:DJ49" ca="1" si="80">DH18+(DH18*DF18)</f>
        <v>10.895190700206056</v>
      </c>
      <c r="DK18" s="18">
        <f t="shared" ref="DK18:DK49" ca="1" si="81">DH18+(DH18*DG18)</f>
        <v>11.042977027378877</v>
      </c>
      <c r="DL18" s="9"/>
      <c r="DM18" s="9"/>
      <c r="DN18" s="9"/>
      <c r="DO18" s="9"/>
      <c r="DP18" s="80">
        <v>1.7903164562075354E-2</v>
      </c>
      <c r="DQ18" s="80">
        <v>1.5412948009633087E-2</v>
      </c>
      <c r="DR18" s="80">
        <v>1.4286511524080581E-2</v>
      </c>
      <c r="DS18" s="80">
        <f t="shared" ca="1" si="25"/>
        <v>1.3195207783287562E-2</v>
      </c>
      <c r="DT18" s="47"/>
      <c r="DU18" s="43">
        <f t="shared" si="26"/>
        <v>0.70017854865741214</v>
      </c>
      <c r="DV18" s="83">
        <f t="shared" ca="1" si="27"/>
        <v>1.8509</v>
      </c>
      <c r="DW18" s="83">
        <f t="shared" ca="1" si="28"/>
        <v>4.0141</v>
      </c>
      <c r="DX18" s="83">
        <f t="shared" ca="1" si="29"/>
        <v>-2.1631999999999998</v>
      </c>
      <c r="DY18" s="67"/>
      <c r="DZ18" s="67"/>
      <c r="EA18" s="85"/>
      <c r="EB18" s="44">
        <v>15014400</v>
      </c>
      <c r="EC18" s="44" cm="1">
        <f t="array" aca="1" ref="EC18" ca="1">_FV(EE18,"Volume")</f>
        <v>13141100</v>
      </c>
      <c r="EE18" s="2" t="e" vm="18">
        <v>#VALUE!</v>
      </c>
      <c r="EG18" s="10" cm="1">
        <f t="array" aca="1" ref="EG18" ca="1">_FV(EE18,"Ações em circulação",TRUE)</f>
        <v>1352245000</v>
      </c>
      <c r="EH18" s="21">
        <f>VLOOKUP(BH18,Fundamentus!A:U,5,FALSE)</f>
        <v>0.20799999999999999</v>
      </c>
      <c r="EI18" s="2">
        <f t="shared" ca="1" si="30"/>
        <v>70927850721.153854</v>
      </c>
      <c r="EJ18" s="20">
        <v>801660244.95192313</v>
      </c>
      <c r="EK18" s="20">
        <f t="shared" ca="1" si="31"/>
        <v>780206357.93269241</v>
      </c>
      <c r="EM18" s="40" t="str">
        <f>IF(VLOOKUP(BH18,Fundamentus!A:U,3,FALSE)&lt;15,"Bom",IF(VLOOKUP(BH18,Fundamentus!A:U,3,FALSE)&gt;15,"Ruim","n/a"))</f>
        <v>Ruim</v>
      </c>
      <c r="EN18" s="36" t="str">
        <f>IF(VLOOKUP(BH18,Fundamentus!A:U,4,FALSE)&lt;1,"Baixo",IF(VLOOKUP(BH18,Fundamentus!A:U,4,FALSE)&lt;1.5,"Moderado",IF(VLOOKUP(BH18,Fundamentus!A:U,4,FALSE)&gt;1.5,"Alto","n/a")))</f>
        <v>Alto</v>
      </c>
      <c r="EO18" s="20" t="str">
        <f>IF(VLOOKUP(BH18,Fundamentus!A:U,8,FALSE)&lt;0,"Risco elevado",IF(VLOOKUP(BH18,Fundamentus!A:U,8,FALSE)&lt;1,"Saudável",IF(VLOOKUP(BH18,Fundamentus!A:U,8,FALSE)&lt;3,"Estável",IF(VLOOKUP(BH18,Fundamentus!A:U,8,FALSE)&gt;3,"Alerta","n/a"))))</f>
        <v>Alerta</v>
      </c>
      <c r="EP18" s="36" t="str">
        <f t="shared" si="32"/>
        <v>Ruim</v>
      </c>
      <c r="EQ18" s="20" t="str">
        <f>IF(VLOOKUP(BH18,Fundamentus!A:U,12,FALSE)&lt;2,"Subvalorizada",IF(VLOOKUP(BH18,Fundamentus!A:U,12,FALSE)&lt;6,"Muita barata",IF(VLOOKUP(BH18,Fundamentus!A:U,12,FALSE)&lt;6,"Barata",IF(VLOOKUP(BH18,Fundamentus!A:U,12,FALSE)&lt;8,"Atrativa",IF(VLOOKUP(BH18,Fundamentus!A:U,12,FALSE)&gt;8,"Supervalorizada","n/a")))))</f>
        <v>Muita barata</v>
      </c>
      <c r="ES18" s="20" t="str">
        <f>IF(VLOOKUP(BH18,Fundamentus!A:U,17,FALSE)&lt;0.1,"Fraco retorno",IF(VLOOKUP(BH18,Fundamentus!A:U,17,FALSE)&gt;0.1,"Bom retorno","n/a"))</f>
        <v>Bom retorno</v>
      </c>
      <c r="ET18" s="20" t="str">
        <f>IF(VLOOKUP(BH18,Fundamentus!A:U,16,FALSE)&lt;0.1,"Ineficiente",IF(VLOOKUP(BH18,Fundamentus!A:U,16,FALSE)&gt;0.1,"Eficiente","n/a"))</f>
        <v>Eficiente</v>
      </c>
      <c r="EU18" s="41" t="str">
        <f>IF(VLOOKUP(BH18,Fundamentus!A:U,16,FALSE)&lt;0.1,"Oper. Ineficiente",IF(VLOOKUP(BH18,Fundamentus!A:U,16,FALSE)&gt;0.1,"Oper.Eficiente","n/a"))</f>
        <v>Oper.Eficiente</v>
      </c>
      <c r="EV18" s="42">
        <f>VLOOKUP(BH18,Fundamentus!A:U,14,FALSE)</f>
        <v>1.0999999999999999E-2</v>
      </c>
      <c r="EW18" s="20" t="str">
        <f>IF(VLOOKUP(BH18,Fundamentus!A:U,21,FALSE)&lt;0,"Negativo",IF(VLOOKUP(BH18,Fundamentus!A:U,21,FALSE)&lt;0.05,"Fraco",IF(VLOOKUP(BH18,Fundamentus!A:U,21,FALSE)&lt;0.1,"Bom",IF(VLOOKUP(BH18,Fundamentus!A:U,21,FALSE)&gt;0.1,"Muito bom","n/a"))))</f>
        <v>Muito bom</v>
      </c>
      <c r="EY18" s="37" t="str">
        <f>IF(VLOOKUP(BH18,Fundamentus!A:U,15,FALSE)&gt;1,"Bom",IF(VLOOKUP(BH18,Fundamentus!A:U,15,FALSE)&lt;1,"Ruim","n/a"))</f>
        <v>Bom</v>
      </c>
      <c r="EZ18" s="20" t="str">
        <f>IF(VLOOKUP(BH18,Fundamentus!A:U,20,FALSE)&lt;0.5,"Baixa",IF(VLOOKUP(BH18,Fundamentus!A:U,20,FALSE)&lt;1,"Moderada",IF(VLOOKUP(BH18,Fundamentus!A:U,20,FALSE)&lt;2,"Alerta",IF(VLOOKUP(BH18,Fundamentus!A:U,20,FALSE)&gt;2,"Alta","n/a"))))</f>
        <v>Alta</v>
      </c>
      <c r="FA18" s="10"/>
    </row>
    <row r="19" spans="1:157" s="2" customFormat="1" ht="11.25" hidden="1" x14ac:dyDescent="0.2">
      <c r="A19" s="4">
        <v>6.22</v>
      </c>
      <c r="B19" s="4">
        <v>6.24</v>
      </c>
      <c r="C19" s="4">
        <v>6.31</v>
      </c>
      <c r="D19" s="4">
        <v>6.12</v>
      </c>
      <c r="E19" s="4">
        <v>6.11</v>
      </c>
      <c r="F19" s="4">
        <v>5.94</v>
      </c>
      <c r="G19" s="4">
        <v>5.9</v>
      </c>
      <c r="H19" s="4">
        <v>5.98</v>
      </c>
      <c r="I19" s="4">
        <v>5.99</v>
      </c>
      <c r="J19" s="4">
        <v>6.2</v>
      </c>
      <c r="K19" s="4">
        <v>6.51</v>
      </c>
      <c r="L19" s="4">
        <v>6.54</v>
      </c>
      <c r="M19" s="4">
        <v>6.3</v>
      </c>
      <c r="N19" s="4">
        <v>6.23</v>
      </c>
      <c r="O19" s="4">
        <v>6.56</v>
      </c>
      <c r="P19" s="4">
        <v>6.54</v>
      </c>
      <c r="Q19" s="4">
        <v>6.78</v>
      </c>
      <c r="R19" s="4">
        <v>6.69</v>
      </c>
      <c r="S19" s="4">
        <v>6.56</v>
      </c>
      <c r="T19" s="4">
        <v>6.47</v>
      </c>
      <c r="U19" s="4">
        <v>6.33</v>
      </c>
      <c r="V19" s="4">
        <v>6.18</v>
      </c>
      <c r="W19" s="4">
        <v>6.16</v>
      </c>
      <c r="X19" s="4">
        <v>6.18</v>
      </c>
      <c r="Y19" s="4">
        <v>6.05</v>
      </c>
      <c r="Z19" s="4">
        <v>6.18</v>
      </c>
      <c r="AA19" s="4">
        <v>6.14</v>
      </c>
      <c r="AB19" s="4">
        <v>6.05</v>
      </c>
      <c r="AC19" s="4">
        <v>5.82</v>
      </c>
      <c r="AD19" s="4">
        <v>5.78</v>
      </c>
      <c r="AE19" s="4">
        <v>5.6</v>
      </c>
      <c r="AF19" s="4">
        <v>5.65</v>
      </c>
      <c r="AG19" s="4">
        <v>5.57</v>
      </c>
      <c r="AH19" s="4">
        <v>5.64</v>
      </c>
      <c r="AI19" s="4">
        <v>5.72</v>
      </c>
      <c r="AJ19" s="4">
        <v>5.54</v>
      </c>
      <c r="AK19" s="4">
        <v>5.6</v>
      </c>
      <c r="AL19" s="4">
        <v>5.7</v>
      </c>
      <c r="AM19" s="4">
        <v>5.83</v>
      </c>
      <c r="AN19" s="4">
        <v>6.22</v>
      </c>
      <c r="AO19" s="4">
        <v>5.99</v>
      </c>
      <c r="AP19" s="4">
        <v>5.93</v>
      </c>
      <c r="AQ19" s="4">
        <v>5.98</v>
      </c>
      <c r="AR19" s="4">
        <v>5.9</v>
      </c>
      <c r="AS19" s="4">
        <v>5.94</v>
      </c>
      <c r="AT19" s="4">
        <v>5.82</v>
      </c>
      <c r="AU19" s="4">
        <v>5.77</v>
      </c>
      <c r="AV19" s="4">
        <v>5.6</v>
      </c>
      <c r="AW19" s="4">
        <v>5.33</v>
      </c>
      <c r="AX19" s="4">
        <v>5.3</v>
      </c>
      <c r="AY19" s="12">
        <v>5.5</v>
      </c>
      <c r="AZ19" s="12">
        <v>5.54</v>
      </c>
      <c r="BA19" s="12">
        <v>5.48</v>
      </c>
      <c r="BB19" s="18">
        <v>5.48</v>
      </c>
      <c r="BC19" s="63">
        <v>5.59</v>
      </c>
      <c r="BD19" s="63">
        <v>5.45</v>
      </c>
      <c r="BE19" s="63">
        <v>5.46</v>
      </c>
      <c r="BF19" s="63">
        <v>5.35</v>
      </c>
      <c r="BG19" s="91" cm="1">
        <f t="array" aca="1" ref="BG19" ca="1">_FV(EE19,"Preço")</f>
        <v>5.31</v>
      </c>
      <c r="BH19" s="93" t="s">
        <v>17</v>
      </c>
      <c r="BI19" s="32" cm="1">
        <f t="array" aca="1" ref="BI19" ca="1">_FV(EE19,"Beta")</f>
        <v>0.60599999999999998</v>
      </c>
      <c r="BJ19" s="96" cm="1">
        <f t="array" aca="1" ref="BJ19" ca="1">_FV(EE19,"Variação (%)",TRUE)</f>
        <v>-1.8799999999999999E-3</v>
      </c>
      <c r="BK19" s="49"/>
      <c r="BL19" s="49"/>
      <c r="BN19" s="32"/>
      <c r="BO19" s="20" cm="1">
        <f t="array" aca="1" ref="BO19" ca="1">_FV(EE19,"Baixo")</f>
        <v>5.29</v>
      </c>
      <c r="BP19" s="20" cm="1">
        <f t="array" aca="1" ref="BP19" ca="1">_FV(EE19,"Alto")</f>
        <v>5.35</v>
      </c>
      <c r="BQ19" s="32"/>
      <c r="BR19" s="74">
        <f ca="1">SQRT(22.5*(BG19/VLOOKUP(BH19,Fundamentus!A:U,3,FALSE))*(BG19/VLOOKUP(BH19,Fundamentus!A:U,4,FALSE)))</f>
        <v>8.2385286967512439</v>
      </c>
      <c r="BT19" s="73">
        <f t="shared" ca="1" si="0"/>
        <v>-7.4766355140186988E-3</v>
      </c>
      <c r="BU19" s="36">
        <f t="shared" si="1"/>
        <v>-0.12218649517684885</v>
      </c>
      <c r="BV19" s="8"/>
      <c r="BW19" s="72">
        <f t="shared" si="2"/>
        <v>5.3</v>
      </c>
      <c r="BX19" s="72">
        <f t="shared" si="3"/>
        <v>5.9575862068965524</v>
      </c>
      <c r="BY19" s="72">
        <f t="shared" si="4"/>
        <v>6.78</v>
      </c>
      <c r="BZ19" s="17"/>
      <c r="CA19" s="17"/>
      <c r="CB19" s="43">
        <f t="shared" si="5"/>
        <v>5.1181458647646183</v>
      </c>
      <c r="CC19" s="18">
        <f t="shared" si="6"/>
        <v>5.2886597938144178</v>
      </c>
      <c r="CD19" s="43">
        <f t="shared" si="7"/>
        <v>5.4591737228642172</v>
      </c>
      <c r="CE19" s="98">
        <f t="shared" ca="1" si="8"/>
        <v>0.12515227526866349</v>
      </c>
      <c r="CF19" s="17"/>
      <c r="CG19" s="20">
        <f t="shared" si="9"/>
        <v>3.3599999999999985</v>
      </c>
      <c r="CH19" s="20">
        <f t="shared" si="10"/>
        <v>4.3299999999999992</v>
      </c>
      <c r="CI19" s="20">
        <f t="shared" si="11"/>
        <v>4.839999999999999</v>
      </c>
      <c r="CJ19" s="49">
        <f t="shared" si="12"/>
        <v>5.81</v>
      </c>
      <c r="CK19" s="20">
        <f t="shared" si="13"/>
        <v>6.3199999999999994</v>
      </c>
      <c r="CL19" s="20">
        <f t="shared" si="14"/>
        <v>7.29</v>
      </c>
      <c r="CM19" s="20">
        <f t="shared" si="15"/>
        <v>7.8</v>
      </c>
      <c r="CN19" s="2" cm="1">
        <f t="array" aca="1" ref="CN19" ca="1">MAX(_xlfn._xlws.FILTER(CG19:CM19,CG19:CM19&lt;BG19))</f>
        <v>4.839999999999999</v>
      </c>
      <c r="CO19" s="2" cm="1">
        <f t="array" aca="1" ref="CO19" ca="1">MIN(_xlfn._xlws.FILTER($CG19:$CM19,$CG19:$CM19&gt;BG19))</f>
        <v>5.81</v>
      </c>
      <c r="CP19" s="19">
        <f t="shared" ca="1" si="65"/>
        <v>0.20041322314049603</v>
      </c>
      <c r="CQ19" s="23">
        <f t="shared" ca="1" si="66"/>
        <v>-0.10020661157024802</v>
      </c>
      <c r="CR19" s="23">
        <f t="shared" ca="1" si="67"/>
        <v>-6.6804407713498673E-2</v>
      </c>
      <c r="CS19" s="23">
        <f t="shared" ca="1" si="68"/>
        <v>-4.0082644628099205E-2</v>
      </c>
      <c r="CT19" s="23">
        <f t="shared" ca="1" si="69"/>
        <v>-2.226813590449956E-2</v>
      </c>
      <c r="CU19" s="23">
        <f t="shared" ca="1" si="70"/>
        <v>-1.1789013125911532E-2</v>
      </c>
      <c r="CV19" s="23">
        <f t="shared" ca="1" si="71"/>
        <v>-6.0731279739544251E-3</v>
      </c>
      <c r="CW19" s="23">
        <f t="shared" ca="1" si="72"/>
        <v>-3.0832803560076312E-3</v>
      </c>
      <c r="CX19" s="24">
        <f t="shared" ca="1" si="73"/>
        <v>3.0832803560076312E-3</v>
      </c>
      <c r="CY19" s="24">
        <f t="shared" ca="1" si="74"/>
        <v>6.0731279739544251E-3</v>
      </c>
      <c r="CZ19" s="24">
        <f t="shared" ca="1" si="75"/>
        <v>1.1789013125911532E-2</v>
      </c>
      <c r="DA19" s="24">
        <f t="shared" ca="1" si="76"/>
        <v>2.226813590449956E-2</v>
      </c>
      <c r="DB19" s="24">
        <f t="shared" ca="1" si="77"/>
        <v>4.0082644628099205E-2</v>
      </c>
      <c r="DC19" s="24">
        <f t="shared" ca="1" si="78"/>
        <v>6.6804407713498673E-2</v>
      </c>
      <c r="DD19" s="24">
        <f t="shared" ca="1" si="79"/>
        <v>0.10020661157024802</v>
      </c>
      <c r="DF19" s="19" cm="1">
        <f t="array" aca="1" ref="DF19" ca="1">MAX(_xlfn._xlws.FILTER(CQ19:DD19,CQ19:DD19&lt;BJ19))</f>
        <v>-3.0832803560076312E-3</v>
      </c>
      <c r="DG19" s="19" cm="1">
        <f t="array" aca="1" ref="DG19" ca="1">MIN(_xlfn._xlws.FILTER(CQ19:DD19,CQ19:DD19&gt;BJ19))</f>
        <v>3.0832803560076312E-3</v>
      </c>
      <c r="DH19" s="2" cm="1">
        <f t="array" aca="1" ref="DH19" ca="1">_FV(EE19,"Fechamento anterior",TRUE)</f>
        <v>5.32</v>
      </c>
      <c r="DI19" s="36">
        <f t="shared" ca="1" si="22"/>
        <v>0.1951786683202649</v>
      </c>
      <c r="DJ19" s="18">
        <f t="shared" ca="1" si="80"/>
        <v>5.3035969485060397</v>
      </c>
      <c r="DK19" s="18">
        <f t="shared" ca="1" si="81"/>
        <v>5.3364030514939609</v>
      </c>
      <c r="DL19" s="9"/>
      <c r="DM19" s="9"/>
      <c r="DN19" s="9"/>
      <c r="DO19" s="9"/>
      <c r="DP19" s="79">
        <v>1.1152111521115199E-2</v>
      </c>
      <c r="DQ19" s="79">
        <v>3.5782176003578171E-3</v>
      </c>
      <c r="DR19" s="79">
        <v>5.3280053280053323E-3</v>
      </c>
      <c r="DS19" s="79">
        <f t="shared" ca="1" si="25"/>
        <v>6.1665607120152625E-3</v>
      </c>
      <c r="DT19" s="47"/>
      <c r="DU19" s="43">
        <f t="shared" si="26"/>
        <v>8.5256964524899725E-2</v>
      </c>
      <c r="DV19" s="83">
        <f t="shared" ca="1" si="27"/>
        <v>1.0321</v>
      </c>
      <c r="DW19" s="83">
        <f t="shared" ca="1" si="28"/>
        <v>0.79400000000000004</v>
      </c>
      <c r="DX19" s="83">
        <f t="shared" ca="1" si="29"/>
        <v>0.23809999999999998</v>
      </c>
      <c r="DY19" s="67"/>
      <c r="DZ19" s="67"/>
      <c r="EA19" s="85"/>
      <c r="EB19" s="44">
        <v>358000</v>
      </c>
      <c r="EC19" s="44" cm="1">
        <f t="array" aca="1" ref="EC19" ca="1">_FV(EE19,"Volume")</f>
        <v>214500</v>
      </c>
      <c r="EE19" s="2" t="e" vm="19">
        <v>#VALUE!</v>
      </c>
      <c r="EG19" s="10" cm="1">
        <f t="array" aca="1" ref="EG19" ca="1">_FV(EE19,"Ações em circulação",TRUE)</f>
        <v>357374800</v>
      </c>
      <c r="EH19" s="21">
        <f>VLOOKUP(BH19,Fundamentus!A:U,5,FALSE)</f>
        <v>0.96499999999999997</v>
      </c>
      <c r="EI19" s="2">
        <f t="shared" ca="1" si="30"/>
        <v>1966487241.4507771</v>
      </c>
      <c r="EJ19" s="20">
        <v>265890554.56580311</v>
      </c>
      <c r="EK19" s="20">
        <f t="shared" ca="1" si="31"/>
        <v>263902587.80269432</v>
      </c>
      <c r="EM19" s="40" t="str">
        <f>IF(VLOOKUP(BH19,Fundamentus!A:U,3,FALSE)&lt;15,"Bom",IF(VLOOKUP(BH19,Fundamentus!A:U,3,FALSE)&gt;15,"Ruim","n/a"))</f>
        <v>Bom</v>
      </c>
      <c r="EN19" s="36" t="str">
        <f>IF(VLOOKUP(BH19,Fundamentus!A:U,4,FALSE)&lt;1,"Baixo",IF(VLOOKUP(BH19,Fundamentus!A:U,4,FALSE)&lt;1.5,"Moderado",IF(VLOOKUP(BH19,Fundamentus!A:U,4,FALSE)&gt;1.5,"Alto","n/a")))</f>
        <v>Moderado</v>
      </c>
      <c r="EO19" s="20" t="str">
        <f>IF(VLOOKUP(BH19,Fundamentus!A:U,8,FALSE)&lt;0,"Risco elevado",IF(VLOOKUP(BH19,Fundamentus!A:U,8,FALSE)&lt;1,"Saudável",IF(VLOOKUP(BH19,Fundamentus!A:U,8,FALSE)&lt;3,"Estável",IF(VLOOKUP(BH19,Fundamentus!A:U,8,FALSE)&gt;3,"Alerta","n/a"))))</f>
        <v>Estável</v>
      </c>
      <c r="EP19" s="36" t="str">
        <f t="shared" si="32"/>
        <v>Ruim</v>
      </c>
      <c r="EQ19" s="20" t="str">
        <f>IF(VLOOKUP(BH19,Fundamentus!A:U,12,FALSE)&lt;2,"Subvalorizada",IF(VLOOKUP(BH19,Fundamentus!A:U,12,FALSE)&lt;6,"Muita barata",IF(VLOOKUP(BH19,Fundamentus!A:U,12,FALSE)&lt;6,"Barata",IF(VLOOKUP(BH19,Fundamentus!A:U,12,FALSE)&lt;8,"Atrativa",IF(VLOOKUP(BH19,Fundamentus!A:U,12,FALSE)&gt;8,"Supervalorizada","n/a")))))</f>
        <v>Atrativa</v>
      </c>
      <c r="ES19" s="20" t="str">
        <f>IF(VLOOKUP(BH19,Fundamentus!A:U,17,FALSE)&lt;0.1,"Fraco retorno",IF(VLOOKUP(BH19,Fundamentus!A:U,17,FALSE)&gt;0.1,"Bom retorno","n/a"))</f>
        <v>Bom retorno</v>
      </c>
      <c r="ET19" s="20" t="str">
        <f>IF(VLOOKUP(BH19,Fundamentus!A:U,16,FALSE)&lt;0.1,"Ineficiente",IF(VLOOKUP(BH19,Fundamentus!A:U,16,FALSE)&gt;0.1,"Eficiente","n/a"))</f>
        <v>Eficiente</v>
      </c>
      <c r="EU19" s="41" t="str">
        <f>IF(VLOOKUP(BH19,Fundamentus!A:U,16,FALSE)&lt;0.1,"Oper. Ineficiente",IF(VLOOKUP(BH19,Fundamentus!A:U,16,FALSE)&gt;0.1,"Oper.Eficiente","n/a"))</f>
        <v>Oper.Eficiente</v>
      </c>
      <c r="EV19" s="42">
        <f>VLOOKUP(BH19,Fundamentus!A:U,14,FALSE)</f>
        <v>0.13420000000000001</v>
      </c>
      <c r="EW19" s="20" t="str">
        <f>IF(VLOOKUP(BH19,Fundamentus!A:U,21,FALSE)&lt;0,"Negativo",IF(VLOOKUP(BH19,Fundamentus!A:U,21,FALSE)&lt;0.05,"Fraco",IF(VLOOKUP(BH19,Fundamentus!A:U,21,FALSE)&lt;0.1,"Bom",IF(VLOOKUP(BH19,Fundamentus!A:U,21,FALSE)&gt;0.1,"Muito bom","n/a"))))</f>
        <v>Muito bom</v>
      </c>
      <c r="EY19" s="37" t="str">
        <f>IF(VLOOKUP(BH19,Fundamentus!A:U,15,FALSE)&gt;1,"Bom",IF(VLOOKUP(BH19,Fundamentus!A:U,15,FALSE)&lt;1,"Ruim","n/a"))</f>
        <v>Bom</v>
      </c>
      <c r="EZ19" s="20" t="str">
        <f>IF(VLOOKUP(BH19,Fundamentus!A:U,20,FALSE)&lt;0.5,"Baixa",IF(VLOOKUP(BH19,Fundamentus!A:U,20,FALSE)&lt;1,"Moderada",IF(VLOOKUP(BH19,Fundamentus!A:U,20,FALSE)&lt;2,"Alerta",IF(VLOOKUP(BH19,Fundamentus!A:U,20,FALSE)&gt;2,"Alta","n/a"))))</f>
        <v>Moderada</v>
      </c>
    </row>
    <row r="20" spans="1:157" s="2" customFormat="1" ht="11.25" hidden="1" x14ac:dyDescent="0.2">
      <c r="A20" s="4">
        <v>31.53</v>
      </c>
      <c r="B20" s="4">
        <v>32.67</v>
      </c>
      <c r="C20" s="4">
        <v>32.46</v>
      </c>
      <c r="D20" s="4">
        <v>32.770000000000003</v>
      </c>
      <c r="E20" s="4">
        <v>31.76</v>
      </c>
      <c r="F20" s="4">
        <v>31.09</v>
      </c>
      <c r="G20" s="4">
        <v>30.52</v>
      </c>
      <c r="H20" s="4">
        <v>31.01</v>
      </c>
      <c r="I20" s="4">
        <v>32.65</v>
      </c>
      <c r="J20" s="4">
        <v>33.5</v>
      </c>
      <c r="K20" s="4">
        <v>34.200000000000003</v>
      </c>
      <c r="L20" s="4">
        <v>33.29</v>
      </c>
      <c r="M20" s="4">
        <v>33.1</v>
      </c>
      <c r="N20" s="4">
        <v>33.5</v>
      </c>
      <c r="O20" s="4">
        <v>33.79</v>
      </c>
      <c r="P20" s="4">
        <v>31.36</v>
      </c>
      <c r="Q20" s="4">
        <v>31.45</v>
      </c>
      <c r="R20" s="4">
        <v>32.06</v>
      </c>
      <c r="S20" s="4">
        <v>30.7</v>
      </c>
      <c r="T20" s="4">
        <v>31.31</v>
      </c>
      <c r="U20" s="4">
        <v>31.17</v>
      </c>
      <c r="V20" s="4">
        <v>30.3</v>
      </c>
      <c r="W20" s="4">
        <v>30.46</v>
      </c>
      <c r="X20" s="4">
        <v>30.23</v>
      </c>
      <c r="Y20" s="4">
        <v>30.36</v>
      </c>
      <c r="Z20" s="4">
        <v>30.2</v>
      </c>
      <c r="AA20" s="4">
        <v>30.06</v>
      </c>
      <c r="AB20" s="4">
        <v>30.31</v>
      </c>
      <c r="AC20" s="4">
        <v>27.94</v>
      </c>
      <c r="AD20" s="4">
        <v>27.94</v>
      </c>
      <c r="AE20" s="4">
        <v>27.13</v>
      </c>
      <c r="AF20" s="4">
        <v>27.73</v>
      </c>
      <c r="AG20" s="4">
        <v>27.15</v>
      </c>
      <c r="AH20" s="4">
        <v>27.3</v>
      </c>
      <c r="AI20" s="4">
        <v>27.58</v>
      </c>
      <c r="AJ20" s="4">
        <v>26.18</v>
      </c>
      <c r="AK20" s="4">
        <v>26.56</v>
      </c>
      <c r="AL20" s="4">
        <v>27.29</v>
      </c>
      <c r="AM20" s="4">
        <v>27.57</v>
      </c>
      <c r="AN20" s="4">
        <v>28.35</v>
      </c>
      <c r="AO20" s="4">
        <v>27.7</v>
      </c>
      <c r="AP20" s="4">
        <v>28.19</v>
      </c>
      <c r="AQ20" s="4">
        <v>28.18</v>
      </c>
      <c r="AR20" s="4">
        <v>27.61</v>
      </c>
      <c r="AS20" s="4">
        <v>29.42</v>
      </c>
      <c r="AT20" s="4">
        <v>30.16</v>
      </c>
      <c r="AU20" s="4">
        <v>28.97</v>
      </c>
      <c r="AV20" s="4">
        <v>28.35</v>
      </c>
      <c r="AW20" s="4">
        <v>28.55</v>
      </c>
      <c r="AX20" s="4">
        <v>29.56</v>
      </c>
      <c r="AY20" s="12">
        <v>30.46</v>
      </c>
      <c r="AZ20" s="12">
        <v>30.79</v>
      </c>
      <c r="BA20" s="12">
        <v>29.62</v>
      </c>
      <c r="BB20" s="18">
        <v>29.15</v>
      </c>
      <c r="BC20" s="63">
        <v>28.83</v>
      </c>
      <c r="BD20" s="63">
        <v>30.66</v>
      </c>
      <c r="BE20" s="63">
        <v>32.1</v>
      </c>
      <c r="BF20" s="63">
        <v>30.5</v>
      </c>
      <c r="BG20" s="91" cm="1">
        <f t="array" aca="1" ref="BG20" ca="1">_FV(EE20,"Preço")</f>
        <v>30.25</v>
      </c>
      <c r="BH20" s="93" t="s">
        <v>18</v>
      </c>
      <c r="BI20" s="32" cm="1">
        <f t="array" aca="1" ref="BI20" ca="1">_FV(EE20,"Beta")</f>
        <v>0.73460000000000003</v>
      </c>
      <c r="BJ20" s="96" cm="1">
        <f t="array" aca="1" ref="BJ20" ca="1">_FV(EE20,"Variação (%)",TRUE)</f>
        <v>-1.0144E-2</v>
      </c>
      <c r="BK20" s="49"/>
      <c r="BL20" s="49"/>
      <c r="BN20" s="32"/>
      <c r="BO20" s="20" cm="1">
        <f t="array" aca="1" ref="BO20" ca="1">_FV(EE20,"Baixo")</f>
        <v>30.11</v>
      </c>
      <c r="BP20" s="20" cm="1">
        <f t="array" aca="1" ref="BP20" ca="1">_FV(EE20,"Alto")</f>
        <v>30.56</v>
      </c>
      <c r="BQ20" s="32"/>
      <c r="BR20" s="74">
        <f ca="1">SQRT(22.5*(BG20/VLOOKUP(BH20,Fundamentus!A:U,3,FALSE))*(BG20/VLOOKUP(BH20,Fundamentus!A:U,4,FALSE)))</f>
        <v>22.726338409483624</v>
      </c>
      <c r="BT20" s="73">
        <f t="shared" ca="1" si="0"/>
        <v>-8.1967213114754103E-3</v>
      </c>
      <c r="BU20" s="36">
        <f t="shared" si="1"/>
        <v>1.8078020932445298E-2</v>
      </c>
      <c r="BV20" s="8"/>
      <c r="BW20" s="72">
        <f t="shared" si="2"/>
        <v>26.18</v>
      </c>
      <c r="BX20" s="72">
        <f t="shared" si="3"/>
        <v>30.091896551724133</v>
      </c>
      <c r="BY20" s="72">
        <f t="shared" si="4"/>
        <v>34.200000000000003</v>
      </c>
      <c r="BZ20" s="17"/>
      <c r="CA20" s="17"/>
      <c r="CB20" s="43">
        <f t="shared" si="5"/>
        <v>29.819440839086013</v>
      </c>
      <c r="CC20" s="18">
        <f t="shared" si="6"/>
        <v>32.137300843486628</v>
      </c>
      <c r="CD20" s="43">
        <f t="shared" si="7"/>
        <v>34.455160847887242</v>
      </c>
      <c r="CE20" s="98">
        <f t="shared" ca="1" si="8"/>
        <v>-0.8142428101367033</v>
      </c>
      <c r="CF20" s="17"/>
      <c r="CG20" s="20">
        <f t="shared" si="9"/>
        <v>18.36666666666666</v>
      </c>
      <c r="CH20" s="20">
        <f t="shared" si="10"/>
        <v>22.27333333333333</v>
      </c>
      <c r="CI20" s="20">
        <f t="shared" si="11"/>
        <v>26.386666666666663</v>
      </c>
      <c r="CJ20" s="49">
        <f t="shared" si="12"/>
        <v>30.293333333333333</v>
      </c>
      <c r="CK20" s="20">
        <f t="shared" si="13"/>
        <v>34.406666666666666</v>
      </c>
      <c r="CL20" s="20">
        <f t="shared" si="14"/>
        <v>38.313333333333333</v>
      </c>
      <c r="CM20" s="20">
        <f t="shared" si="15"/>
        <v>42.426666666666669</v>
      </c>
      <c r="CN20" s="2" cm="1">
        <f t="array" aca="1" ref="CN20" ca="1">MAX(_xlfn._xlws.FILTER(CG20:CM20,CG20:CM20&lt;BG20))</f>
        <v>26.386666666666663</v>
      </c>
      <c r="CO20" s="2" cm="1">
        <f t="array" aca="1" ref="CO20" ca="1">MIN(_xlfn._xlws.FILTER($CG20:$CM20,$CG20:$CM20&gt;BG20))</f>
        <v>30.293333333333333</v>
      </c>
      <c r="CP20" s="19">
        <f t="shared" ca="1" si="65"/>
        <v>0.14805457301667513</v>
      </c>
      <c r="CQ20" s="23">
        <f t="shared" ca="1" si="66"/>
        <v>-7.4027286508337564E-2</v>
      </c>
      <c r="CR20" s="23">
        <f t="shared" ca="1" si="67"/>
        <v>-4.9351524338891707E-2</v>
      </c>
      <c r="CS20" s="23">
        <f t="shared" ca="1" si="68"/>
        <v>-2.9610914603335026E-2</v>
      </c>
      <c r="CT20" s="23">
        <f t="shared" ca="1" si="69"/>
        <v>-1.6450508112963905E-2</v>
      </c>
      <c r="CU20" s="23">
        <f t="shared" ca="1" si="70"/>
        <v>-8.709092530392655E-3</v>
      </c>
      <c r="CV20" s="23">
        <f t="shared" ca="1" si="71"/>
        <v>-4.4865022126265187E-3</v>
      </c>
      <c r="CW20" s="23">
        <f t="shared" ca="1" si="72"/>
        <v>-2.2777626617950021E-3</v>
      </c>
      <c r="CX20" s="24">
        <f t="shared" ca="1" si="73"/>
        <v>2.2777626617950021E-3</v>
      </c>
      <c r="CY20" s="24">
        <f t="shared" ca="1" si="74"/>
        <v>4.4865022126265187E-3</v>
      </c>
      <c r="CZ20" s="24">
        <f t="shared" ca="1" si="75"/>
        <v>8.709092530392655E-3</v>
      </c>
      <c r="DA20" s="24">
        <f t="shared" ca="1" si="76"/>
        <v>1.6450508112963905E-2</v>
      </c>
      <c r="DB20" s="24">
        <f t="shared" ca="1" si="77"/>
        <v>2.9610914603335026E-2</v>
      </c>
      <c r="DC20" s="24">
        <f t="shared" ca="1" si="78"/>
        <v>4.9351524338891707E-2</v>
      </c>
      <c r="DD20" s="24">
        <f t="shared" ca="1" si="79"/>
        <v>7.4027286508337564E-2</v>
      </c>
      <c r="DF20" s="19" cm="1">
        <f t="array" aca="1" ref="DF20" ca="1">MAX(_xlfn._xlws.FILTER(CQ20:DD20,CQ20:DD20&lt;BJ20))</f>
        <v>-1.6450508112963905E-2</v>
      </c>
      <c r="DG20" s="19" cm="1">
        <f t="array" aca="1" ref="DG20" ca="1">MIN(_xlfn._xlws.FILTER(CQ20:DD20,CQ20:DD20&gt;BJ20))</f>
        <v>-8.709092530392655E-3</v>
      </c>
      <c r="DH20" s="2" cm="1">
        <f t="array" aca="1" ref="DH20" ca="1">_FV(EE20,"Fechamento anterior",TRUE)</f>
        <v>30.56</v>
      </c>
      <c r="DI20" s="36">
        <f t="shared" ca="1" si="22"/>
        <v>0.81464804312671379</v>
      </c>
      <c r="DJ20" s="18">
        <f t="shared" ca="1" si="80"/>
        <v>30.057272472067822</v>
      </c>
      <c r="DK20" s="18">
        <f t="shared" ca="1" si="81"/>
        <v>30.293850132271199</v>
      </c>
      <c r="DL20" s="9"/>
      <c r="DM20" s="9"/>
      <c r="DN20" s="9"/>
      <c r="DO20" s="9"/>
      <c r="DP20" s="79">
        <v>1.1699362499658014E-2</v>
      </c>
      <c r="DQ20" s="79">
        <v>1.2930523821612933E-2</v>
      </c>
      <c r="DR20" s="79">
        <v>1.1699362499658014E-2</v>
      </c>
      <c r="DS20" s="79">
        <f t="shared" ca="1" si="25"/>
        <v>7.7414155825712497E-3</v>
      </c>
      <c r="DT20" s="47"/>
      <c r="DU20" s="43">
        <f t="shared" si="26"/>
        <v>1.1589300022003064</v>
      </c>
      <c r="DV20" s="83">
        <f t="shared" ca="1" si="27"/>
        <v>1.1607000000000001</v>
      </c>
      <c r="DW20" s="83">
        <f t="shared" ca="1" si="28"/>
        <v>1.7490000000000001</v>
      </c>
      <c r="DX20" s="83">
        <f t="shared" ca="1" si="29"/>
        <v>-0.58830000000000005</v>
      </c>
      <c r="DY20" s="67"/>
      <c r="DZ20" s="67"/>
      <c r="EA20" s="85"/>
      <c r="EB20" s="44">
        <v>280300</v>
      </c>
      <c r="EC20" s="44" cm="1">
        <f t="array" aca="1" ref="EC20" ca="1">_FV(EE20,"Volume")</f>
        <v>156000</v>
      </c>
      <c r="EE20" s="2" t="e" vm="20">
        <v>#VALUE!</v>
      </c>
      <c r="EG20" s="10" cm="1">
        <f t="array" aca="1" ref="EG20" ca="1">_FV(EE20,"Ações em circulação",TRUE)</f>
        <v>135539000</v>
      </c>
      <c r="EH20" s="21">
        <f>VLOOKUP(BH20,Fundamentus!A:U,5,FALSE)</f>
        <v>0.875</v>
      </c>
      <c r="EI20" s="2">
        <f t="shared" ca="1" si="30"/>
        <v>4685776857.1428576</v>
      </c>
      <c r="EJ20" s="20">
        <v>491348237.71428573</v>
      </c>
      <c r="EK20" s="20">
        <f t="shared" ca="1" si="31"/>
        <v>487320793.14285713</v>
      </c>
      <c r="EM20" s="40" t="str">
        <f>IF(VLOOKUP(BH20,Fundamentus!A:U,3,FALSE)&lt;15,"Bom",IF(VLOOKUP(BH20,Fundamentus!A:U,3,FALSE)&gt;15,"Ruim","n/a"))</f>
        <v>Bom</v>
      </c>
      <c r="EN20" s="36" t="str">
        <f>IF(VLOOKUP(BH20,Fundamentus!A:U,4,FALSE)&lt;1,"Baixo",IF(VLOOKUP(BH20,Fundamentus!A:U,4,FALSE)&lt;1.5,"Moderado",IF(VLOOKUP(BH20,Fundamentus!A:U,4,FALSE)&gt;1.5,"Alto","n/a")))</f>
        <v>Alto</v>
      </c>
      <c r="EO20" s="20" t="str">
        <f>IF(VLOOKUP(BH20,Fundamentus!A:U,8,FALSE)&lt;0,"Risco elevado",IF(VLOOKUP(BH20,Fundamentus!A:U,8,FALSE)&lt;1,"Saudável",IF(VLOOKUP(BH20,Fundamentus!A:U,8,FALSE)&lt;3,"Estável",IF(VLOOKUP(BH20,Fundamentus!A:U,8,FALSE)&gt;3,"Alerta","n/a"))))</f>
        <v>Alerta</v>
      </c>
      <c r="EP20" s="36" t="str">
        <f t="shared" si="32"/>
        <v>Ruim</v>
      </c>
      <c r="EQ20" s="20" t="str">
        <f>IF(VLOOKUP(BH20,Fundamentus!A:U,12,FALSE)&lt;2,"Subvalorizada",IF(VLOOKUP(BH20,Fundamentus!A:U,12,FALSE)&lt;6,"Muita barata",IF(VLOOKUP(BH20,Fundamentus!A:U,12,FALSE)&lt;6,"Barata",IF(VLOOKUP(BH20,Fundamentus!A:U,12,FALSE)&lt;8,"Atrativa",IF(VLOOKUP(BH20,Fundamentus!A:U,12,FALSE)&gt;8,"Supervalorizada","n/a")))))</f>
        <v>Muita barata</v>
      </c>
      <c r="ES20" s="20" t="str">
        <f>IF(VLOOKUP(BH20,Fundamentus!A:U,17,FALSE)&lt;0.1,"Fraco retorno",IF(VLOOKUP(BH20,Fundamentus!A:U,17,FALSE)&gt;0.1,"Bom retorno","n/a"))</f>
        <v>Bom retorno</v>
      </c>
      <c r="ET20" s="20" t="str">
        <f>IF(VLOOKUP(BH20,Fundamentus!A:U,16,FALSE)&lt;0.1,"Ineficiente",IF(VLOOKUP(BH20,Fundamentus!A:U,16,FALSE)&gt;0.1,"Eficiente","n/a"))</f>
        <v>Eficiente</v>
      </c>
      <c r="EU20" s="41" t="str">
        <f>IF(VLOOKUP(BH20,Fundamentus!A:U,16,FALSE)&lt;0.1,"Oper. Ineficiente",IF(VLOOKUP(BH20,Fundamentus!A:U,16,FALSE)&gt;0.1,"Oper.Eficiente","n/a"))</f>
        <v>Oper.Eficiente</v>
      </c>
      <c r="EV20" s="42">
        <f>VLOOKUP(BH20,Fundamentus!A:U,14,FALSE)</f>
        <v>0.104</v>
      </c>
      <c r="EW20" s="20" t="str">
        <f>IF(VLOOKUP(BH20,Fundamentus!A:U,21,FALSE)&lt;0,"Negativo",IF(VLOOKUP(BH20,Fundamentus!A:U,21,FALSE)&lt;0.05,"Fraco",IF(VLOOKUP(BH20,Fundamentus!A:U,21,FALSE)&lt;0.1,"Bom",IF(VLOOKUP(BH20,Fundamentus!A:U,21,FALSE)&gt;0.1,"Muito bom","n/a"))))</f>
        <v>Muito bom</v>
      </c>
      <c r="EY20" s="37" t="str">
        <f>IF(VLOOKUP(BH20,Fundamentus!A:U,15,FALSE)&gt;1,"Bom",IF(VLOOKUP(BH20,Fundamentus!A:U,15,FALSE)&lt;1,"Ruim","n/a"))</f>
        <v>Bom</v>
      </c>
      <c r="EZ20" s="20" t="str">
        <f>IF(VLOOKUP(BH20,Fundamentus!A:U,20,FALSE)&lt;0.5,"Baixa",IF(VLOOKUP(BH20,Fundamentus!A:U,20,FALSE)&lt;1,"Moderada",IF(VLOOKUP(BH20,Fundamentus!A:U,20,FALSE)&lt;2,"Alerta",IF(VLOOKUP(BH20,Fundamentus!A:U,20,FALSE)&gt;2,"Alta","n/a"))))</f>
        <v>Alerta</v>
      </c>
    </row>
    <row r="21" spans="1:157" s="5" customFormat="1" ht="11.25" hidden="1" x14ac:dyDescent="0.2">
      <c r="A21" s="4">
        <v>9.6</v>
      </c>
      <c r="B21" s="4">
        <v>9.24</v>
      </c>
      <c r="C21" s="4">
        <v>9.58</v>
      </c>
      <c r="D21" s="4">
        <v>9.2799999999999994</v>
      </c>
      <c r="E21" s="4">
        <v>9.07</v>
      </c>
      <c r="F21" s="4">
        <v>9.25</v>
      </c>
      <c r="G21" s="4">
        <v>9.35</v>
      </c>
      <c r="H21" s="4">
        <v>9.2100000000000009</v>
      </c>
      <c r="I21" s="4">
        <v>9.33</v>
      </c>
      <c r="J21" s="4">
        <v>9.74</v>
      </c>
      <c r="K21" s="4">
        <v>10.23</v>
      </c>
      <c r="L21" s="4">
        <v>10.07</v>
      </c>
      <c r="M21" s="4">
        <v>10.119999999999999</v>
      </c>
      <c r="N21" s="4">
        <v>10.119999999999999</v>
      </c>
      <c r="O21" s="4">
        <v>10.27</v>
      </c>
      <c r="P21" s="4">
        <v>10.4</v>
      </c>
      <c r="Q21" s="4">
        <v>10.73</v>
      </c>
      <c r="R21" s="4">
        <v>10.43</v>
      </c>
      <c r="S21" s="4">
        <v>10.83</v>
      </c>
      <c r="T21" s="4">
        <v>10.86</v>
      </c>
      <c r="U21" s="4">
        <v>10.52</v>
      </c>
      <c r="V21" s="4">
        <v>10.19</v>
      </c>
      <c r="W21" s="4">
        <v>10.01</v>
      </c>
      <c r="X21" s="4">
        <v>10.02</v>
      </c>
      <c r="Y21" s="4">
        <v>9.8000000000000007</v>
      </c>
      <c r="Z21" s="4">
        <v>9.75</v>
      </c>
      <c r="AA21" s="4">
        <v>9.56</v>
      </c>
      <c r="AB21" s="4">
        <v>9.39</v>
      </c>
      <c r="AC21" s="4">
        <v>9.59</v>
      </c>
      <c r="AD21" s="4">
        <v>9.3800000000000008</v>
      </c>
      <c r="AE21" s="4">
        <v>9.7100000000000009</v>
      </c>
      <c r="AF21" s="4">
        <v>9.59</v>
      </c>
      <c r="AG21" s="4">
        <v>9.1999999999999993</v>
      </c>
      <c r="AH21" s="4">
        <v>9.06</v>
      </c>
      <c r="AI21" s="4">
        <v>9.17</v>
      </c>
      <c r="AJ21" s="4">
        <v>8.99</v>
      </c>
      <c r="AK21" s="4">
        <v>8.76</v>
      </c>
      <c r="AL21" s="4">
        <v>9.15</v>
      </c>
      <c r="AM21" s="4">
        <v>9.1999999999999993</v>
      </c>
      <c r="AN21" s="4">
        <v>9.6999999999999993</v>
      </c>
      <c r="AO21" s="4">
        <v>9.73</v>
      </c>
      <c r="AP21" s="4">
        <v>10.32</v>
      </c>
      <c r="AQ21" s="4">
        <v>10.220000000000001</v>
      </c>
      <c r="AR21" s="4">
        <v>9.8699999999999992</v>
      </c>
      <c r="AS21" s="4">
        <v>9.92</v>
      </c>
      <c r="AT21" s="4">
        <v>10.33</v>
      </c>
      <c r="AU21" s="4">
        <v>10.5</v>
      </c>
      <c r="AV21" s="4">
        <v>10.48</v>
      </c>
      <c r="AW21" s="4">
        <v>10.62</v>
      </c>
      <c r="AX21" s="4">
        <v>10.68</v>
      </c>
      <c r="AY21" s="12">
        <v>11.02</v>
      </c>
      <c r="AZ21" s="12">
        <v>11.28</v>
      </c>
      <c r="BA21" s="12">
        <v>11.53</v>
      </c>
      <c r="BB21" s="18">
        <v>11.86</v>
      </c>
      <c r="BC21" s="63">
        <v>12.42</v>
      </c>
      <c r="BD21" s="63">
        <v>12.4</v>
      </c>
      <c r="BE21" s="63">
        <v>12.67</v>
      </c>
      <c r="BF21" s="63">
        <v>12.48</v>
      </c>
      <c r="BG21" s="91" cm="1">
        <f t="array" aca="1" ref="BG21" ca="1">_FV(EE21,"Preço")</f>
        <v>12.39</v>
      </c>
      <c r="BH21" s="93" t="s">
        <v>19</v>
      </c>
      <c r="BI21" s="32" cm="1">
        <f t="array" aca="1" ref="BI21" ca="1">_FV(EE21,"Beta")</f>
        <v>0.85450000000000004</v>
      </c>
      <c r="BJ21" s="96" cm="1">
        <f t="array" aca="1" ref="BJ21" ca="1">_FV(EE21,"Variação (%)",TRUE)</f>
        <v>-5.6179999999999997E-3</v>
      </c>
      <c r="BK21" s="49"/>
      <c r="BL21" s="49"/>
      <c r="BN21" s="32"/>
      <c r="BO21" s="20" cm="1">
        <f t="array" aca="1" ref="BO21" ca="1">_FV(EE21,"Baixo")</f>
        <v>12.22</v>
      </c>
      <c r="BP21" s="20" cm="1">
        <f t="array" aca="1" ref="BP21" ca="1">_FV(EE21,"Alto")</f>
        <v>12.44</v>
      </c>
      <c r="BQ21" s="32"/>
      <c r="BR21" s="74">
        <f ca="1">SQRT(22.5*(BG21/VLOOKUP(BH21,Fundamentus!A:U,3,FALSE))*(BG21/VLOOKUP(BH21,Fundamentus!A:U,4,FALSE)))</f>
        <v>13.850286799098869</v>
      </c>
      <c r="BT21" s="73">
        <f t="shared" ca="1" si="0"/>
        <v>-7.2115384615384498E-3</v>
      </c>
      <c r="BU21" s="36">
        <f t="shared" si="1"/>
        <v>0.3197916666666667</v>
      </c>
      <c r="BV21" s="8"/>
      <c r="BW21" s="72">
        <f t="shared" si="2"/>
        <v>8.76</v>
      </c>
      <c r="BX21" s="72">
        <f t="shared" si="3"/>
        <v>10.116896551724135</v>
      </c>
      <c r="BY21" s="72">
        <f t="shared" si="4"/>
        <v>12.67</v>
      </c>
      <c r="BZ21" s="17"/>
      <c r="CA21" s="17"/>
      <c r="CB21" s="43">
        <f t="shared" si="5"/>
        <v>12.388878779047314</v>
      </c>
      <c r="CC21" s="18">
        <f t="shared" si="6"/>
        <v>12.602127460168674</v>
      </c>
      <c r="CD21" s="43">
        <f t="shared" si="7"/>
        <v>12.815376141290034</v>
      </c>
      <c r="CE21" s="98">
        <f t="shared" ca="1" si="8"/>
        <v>-0.99474219044736478</v>
      </c>
      <c r="CF21" s="17"/>
      <c r="CG21" s="20">
        <f t="shared" si="9"/>
        <v>6.0266666666666655</v>
      </c>
      <c r="CH21" s="20">
        <f t="shared" si="10"/>
        <v>7.3933333333333326</v>
      </c>
      <c r="CI21" s="20">
        <f t="shared" si="11"/>
        <v>9.9366666666666656</v>
      </c>
      <c r="CJ21" s="49">
        <f t="shared" si="12"/>
        <v>11.303333333333333</v>
      </c>
      <c r="CK21" s="20">
        <f t="shared" si="13"/>
        <v>13.846666666666666</v>
      </c>
      <c r="CL21" s="20">
        <f t="shared" si="14"/>
        <v>15.213333333333333</v>
      </c>
      <c r="CM21" s="20">
        <f t="shared" si="15"/>
        <v>17.756666666666668</v>
      </c>
      <c r="CN21" s="2" cm="1">
        <f t="array" aca="1" ref="CN21" ca="1">MAX(_xlfn._xlws.FILTER(CG21:CM21,CG21:CM21&lt;BG21))</f>
        <v>11.303333333333333</v>
      </c>
      <c r="CO21" s="2" cm="1">
        <f t="array" aca="1" ref="CO21" ca="1">MIN(_xlfn._xlws.FILTER($CG21:$CM21,$CG21:$CM21&gt;BG21))</f>
        <v>13.846666666666666</v>
      </c>
      <c r="CP21" s="19">
        <f t="shared" ca="1" si="65"/>
        <v>0.22500737245650249</v>
      </c>
      <c r="CQ21" s="23">
        <f t="shared" ca="1" si="66"/>
        <v>-0.11250368622825124</v>
      </c>
      <c r="CR21" s="23">
        <f t="shared" ca="1" si="67"/>
        <v>-7.5002457485500829E-2</v>
      </c>
      <c r="CS21" s="23">
        <f t="shared" ca="1" si="68"/>
        <v>-4.50014744913005E-2</v>
      </c>
      <c r="CT21" s="23">
        <f t="shared" ca="1" si="69"/>
        <v>-2.500081916183361E-2</v>
      </c>
      <c r="CU21" s="23">
        <f t="shared" ca="1" si="70"/>
        <v>-1.323572779155897E-2</v>
      </c>
      <c r="CV21" s="23">
        <f t="shared" ca="1" si="71"/>
        <v>-6.8184052259546209E-3</v>
      </c>
      <c r="CW21" s="23">
        <f t="shared" ca="1" si="72"/>
        <v>-3.4616518839461919E-3</v>
      </c>
      <c r="CX21" s="24">
        <f t="shared" ca="1" si="73"/>
        <v>3.4616518839461919E-3</v>
      </c>
      <c r="CY21" s="24">
        <f t="shared" ca="1" si="74"/>
        <v>6.8184052259546209E-3</v>
      </c>
      <c r="CZ21" s="24">
        <f t="shared" ca="1" si="75"/>
        <v>1.323572779155897E-2</v>
      </c>
      <c r="DA21" s="24">
        <f t="shared" ca="1" si="76"/>
        <v>2.500081916183361E-2</v>
      </c>
      <c r="DB21" s="24">
        <f t="shared" ca="1" si="77"/>
        <v>4.50014744913005E-2</v>
      </c>
      <c r="DC21" s="24">
        <f t="shared" ca="1" si="78"/>
        <v>7.5002457485500829E-2</v>
      </c>
      <c r="DD21" s="24">
        <f t="shared" ca="1" si="79"/>
        <v>0.11250368622825124</v>
      </c>
      <c r="DF21" s="19" cm="1">
        <f t="array" aca="1" ref="DF21" ca="1">MAX(_xlfn._xlws.FILTER(CQ21:DD21,CQ21:DD21&lt;BJ21))</f>
        <v>-6.8184052259546209E-3</v>
      </c>
      <c r="DG21" s="19" cm="1">
        <f t="array" aca="1" ref="DG21" ca="1">MIN(_xlfn._xlws.FILTER(CQ21:DD21,CQ21:DD21&gt;BJ21))</f>
        <v>-3.4616518839461919E-3</v>
      </c>
      <c r="DH21" s="2" cm="1">
        <f t="array" aca="1" ref="DH21" ca="1">_FV(EE21,"Fechamento anterior",TRUE)</f>
        <v>12.46</v>
      </c>
      <c r="DI21" s="36">
        <f t="shared" ca="1" si="22"/>
        <v>0.35761570051686886</v>
      </c>
      <c r="DJ21" s="18">
        <f t="shared" ca="1" si="80"/>
        <v>12.375042670884607</v>
      </c>
      <c r="DK21" s="18">
        <f t="shared" ca="1" si="81"/>
        <v>12.416867817526031</v>
      </c>
      <c r="DL21" s="9"/>
      <c r="DM21" s="9"/>
      <c r="DN21" s="9"/>
      <c r="DO21" s="9"/>
      <c r="DP21" s="79">
        <v>5.2384590199716242E-3</v>
      </c>
      <c r="DQ21" s="79">
        <v>5.5638089373662974E-3</v>
      </c>
      <c r="DR21" s="79">
        <v>6.0024938728124866E-3</v>
      </c>
      <c r="DS21" s="79">
        <f t="shared" ca="1" si="25"/>
        <v>3.356753342008429E-3</v>
      </c>
      <c r="DT21" s="47"/>
      <c r="DU21" s="43">
        <f t="shared" si="26"/>
        <v>0.1066243405606805</v>
      </c>
      <c r="DV21" s="83">
        <f t="shared" ca="1" si="27"/>
        <v>1.2806</v>
      </c>
      <c r="DW21" s="83">
        <f t="shared" ca="1" si="28"/>
        <v>1.4163000000000001</v>
      </c>
      <c r="DX21" s="83">
        <f t="shared" ca="1" si="29"/>
        <v>-0.13570000000000015</v>
      </c>
      <c r="DY21" s="67"/>
      <c r="DZ21" s="67"/>
      <c r="EA21" s="85"/>
      <c r="EB21" s="44">
        <v>7837400</v>
      </c>
      <c r="EC21" s="44" cm="1">
        <f t="array" aca="1" ref="EC21" ca="1">_FV(EE21,"Volume")</f>
        <v>9983000</v>
      </c>
      <c r="EE21" s="5" t="e" vm="21">
        <v>#VALUE!</v>
      </c>
      <c r="EG21" s="10" cm="1">
        <f t="array" aca="1" ref="EG21" ca="1">_FV(EE21,"Ações em circulação",TRUE)</f>
        <v>2982811000</v>
      </c>
      <c r="EH21" s="21">
        <f>VLOOKUP(BH21,Fundamentus!A:U,5,FALSE)</f>
        <v>1.6140000000000001</v>
      </c>
      <c r="EI21" s="2">
        <f t="shared" ca="1" si="30"/>
        <v>22897787044.609665</v>
      </c>
      <c r="EJ21" s="20">
        <v>2922223344.5947957</v>
      </c>
      <c r="EK21" s="20">
        <f t="shared" ca="1" si="31"/>
        <v>2901149618.5520449</v>
      </c>
      <c r="EL21" s="2"/>
      <c r="EM21" s="40" t="str">
        <f>IF(VLOOKUP(BH21,Fundamentus!A:U,3,FALSE)&lt;15,"Bom",IF(VLOOKUP(BH21,Fundamentus!A:U,3,FALSE)&gt;15,"Ruim","n/a"))</f>
        <v>Bom</v>
      </c>
      <c r="EN21" s="36" t="str">
        <f>IF(VLOOKUP(BH21,Fundamentus!A:U,4,FALSE)&lt;1,"Baixo",IF(VLOOKUP(BH21,Fundamentus!A:U,4,FALSE)&lt;1.5,"Moderado",IF(VLOOKUP(BH21,Fundamentus!A:U,4,FALSE)&gt;1.5,"Alto","n/a")))</f>
        <v>Moderado</v>
      </c>
      <c r="EO21" s="20" t="str">
        <f>IF(VLOOKUP(BH21,Fundamentus!A:U,8,FALSE)&lt;0,"Risco elevado",IF(VLOOKUP(BH21,Fundamentus!A:U,8,FALSE)&lt;1,"Saudável",IF(VLOOKUP(BH21,Fundamentus!A:U,8,FALSE)&lt;3,"Estável",IF(VLOOKUP(BH21,Fundamentus!A:U,8,FALSE)&gt;3,"Alerta","n/a"))))</f>
        <v>Alerta</v>
      </c>
      <c r="EP21" s="36" t="str">
        <f t="shared" si="32"/>
        <v>Bom</v>
      </c>
      <c r="EQ21" s="20" t="str">
        <f>IF(VLOOKUP(BH21,Fundamentus!A:U,12,FALSE)&lt;2,"Subvalorizada",IF(VLOOKUP(BH21,Fundamentus!A:U,12,FALSE)&lt;6,"Muita barata",IF(VLOOKUP(BH21,Fundamentus!A:U,12,FALSE)&lt;6,"Barata",IF(VLOOKUP(BH21,Fundamentus!A:U,12,FALSE)&lt;8,"Atrativa",IF(VLOOKUP(BH21,Fundamentus!A:U,12,FALSE)&gt;8,"Supervalorizada","n/a")))))</f>
        <v>Supervalorizada</v>
      </c>
      <c r="ER21" s="2"/>
      <c r="ES21" s="20" t="str">
        <f>IF(VLOOKUP(BH21,Fundamentus!A:U,17,FALSE)&lt;0.1,"Fraco retorno",IF(VLOOKUP(BH21,Fundamentus!A:U,17,FALSE)&gt;0.1,"Bom retorno","n/a"))</f>
        <v>Bom retorno</v>
      </c>
      <c r="ET21" s="20" t="str">
        <f>IF(VLOOKUP(BH21,Fundamentus!A:U,16,FALSE)&lt;0.1,"Ineficiente",IF(VLOOKUP(BH21,Fundamentus!A:U,16,FALSE)&gt;0.1,"Eficiente","n/a"))</f>
        <v>Ineficiente</v>
      </c>
      <c r="EU21" s="41" t="str">
        <f>IF(VLOOKUP(BH21,Fundamentus!A:U,16,FALSE)&lt;0.1,"Oper. Ineficiente",IF(VLOOKUP(BH21,Fundamentus!A:U,16,FALSE)&gt;0.1,"Oper.Eficiente","n/a"))</f>
        <v>Oper. Ineficiente</v>
      </c>
      <c r="EV21" s="42">
        <f>VLOOKUP(BH21,Fundamentus!A:U,14,FALSE)</f>
        <v>0.12670000000000001</v>
      </c>
      <c r="EW21" s="20" t="str">
        <f>IF(VLOOKUP(BH21,Fundamentus!A:U,21,FALSE)&lt;0,"Negativo",IF(VLOOKUP(BH21,Fundamentus!A:U,21,FALSE)&lt;0.05,"Fraco",IF(VLOOKUP(BH21,Fundamentus!A:U,21,FALSE)&lt;0.1,"Bom",IF(VLOOKUP(BH21,Fundamentus!A:U,21,FALSE)&gt;0.1,"Muito bom","n/a"))))</f>
        <v>Fraco</v>
      </c>
      <c r="EY21" s="37" t="str">
        <f>IF(VLOOKUP(BH21,Fundamentus!A:U,15,FALSE)&gt;1,"Bom",IF(VLOOKUP(BH21,Fundamentus!A:U,15,FALSE)&lt;1,"Ruim","n/a"))</f>
        <v>Bom</v>
      </c>
      <c r="EZ21" s="20" t="str">
        <f>IF(VLOOKUP(BH21,Fundamentus!A:U,20,FALSE)&lt;0.5,"Baixa",IF(VLOOKUP(BH21,Fundamentus!A:U,20,FALSE)&lt;1,"Moderada",IF(VLOOKUP(BH21,Fundamentus!A:U,20,FALSE)&lt;2,"Alerta",IF(VLOOKUP(BH21,Fundamentus!A:U,20,FALSE)&gt;2,"Alta","n/a"))))</f>
        <v>Moderada</v>
      </c>
    </row>
    <row r="22" spans="1:157" s="2" customFormat="1" ht="11.25" hidden="1" x14ac:dyDescent="0.2">
      <c r="A22" s="4">
        <v>22.9</v>
      </c>
      <c r="B22" s="4">
        <v>22.09</v>
      </c>
      <c r="C22" s="4">
        <v>21.71</v>
      </c>
      <c r="D22" s="4">
        <v>20.91</v>
      </c>
      <c r="E22" s="4">
        <v>20.5</v>
      </c>
      <c r="F22" s="4">
        <v>20.49</v>
      </c>
      <c r="G22" s="4">
        <v>19.57</v>
      </c>
      <c r="H22" s="4">
        <v>19.440000000000001</v>
      </c>
      <c r="I22" s="4">
        <v>19.63</v>
      </c>
      <c r="J22" s="4">
        <v>19.25</v>
      </c>
      <c r="K22" s="4">
        <v>19.38</v>
      </c>
      <c r="L22" s="4">
        <v>19.309999999999999</v>
      </c>
      <c r="M22" s="4">
        <v>18.96</v>
      </c>
      <c r="N22" s="4">
        <v>17.600000000000001</v>
      </c>
      <c r="O22" s="4">
        <v>17.96</v>
      </c>
      <c r="P22" s="4">
        <v>17.7</v>
      </c>
      <c r="Q22" s="4">
        <v>18</v>
      </c>
      <c r="R22" s="4">
        <v>18.05</v>
      </c>
      <c r="S22" s="4">
        <v>18.02</v>
      </c>
      <c r="T22" s="4">
        <v>18</v>
      </c>
      <c r="U22" s="4">
        <v>17.71</v>
      </c>
      <c r="V22" s="4">
        <v>17.850000000000001</v>
      </c>
      <c r="W22" s="4">
        <v>17.96</v>
      </c>
      <c r="X22" s="4">
        <v>17.899999999999999</v>
      </c>
      <c r="Y22" s="4">
        <v>17.5</v>
      </c>
      <c r="Z22" s="4">
        <v>17.64</v>
      </c>
      <c r="AA22" s="4">
        <v>17.61</v>
      </c>
      <c r="AB22" s="4">
        <v>18.010000000000002</v>
      </c>
      <c r="AC22" s="4">
        <v>18.13</v>
      </c>
      <c r="AD22" s="4">
        <v>18.850000000000001</v>
      </c>
      <c r="AE22" s="4">
        <v>16.989999999999998</v>
      </c>
      <c r="AF22" s="4">
        <v>16.989999999999998</v>
      </c>
      <c r="AG22" s="4">
        <v>16.899999999999999</v>
      </c>
      <c r="AH22" s="4">
        <v>16.8</v>
      </c>
      <c r="AI22" s="4">
        <v>16.850000000000001</v>
      </c>
      <c r="AJ22" s="4">
        <v>17.600000000000001</v>
      </c>
      <c r="AK22" s="4">
        <v>17.079999999999998</v>
      </c>
      <c r="AL22" s="4">
        <v>17.100000000000001</v>
      </c>
      <c r="AM22" s="4">
        <v>17.38</v>
      </c>
      <c r="AN22" s="4">
        <v>17.61</v>
      </c>
      <c r="AO22" s="4">
        <v>17.8</v>
      </c>
      <c r="AP22" s="4">
        <v>17.649999999999999</v>
      </c>
      <c r="AQ22" s="4">
        <v>17.62</v>
      </c>
      <c r="AR22" s="4">
        <v>17.899999999999999</v>
      </c>
      <c r="AS22" s="4">
        <v>18.3</v>
      </c>
      <c r="AT22" s="4">
        <v>18.95</v>
      </c>
      <c r="AU22" s="4">
        <v>18.555</v>
      </c>
      <c r="AV22" s="4">
        <v>19.8</v>
      </c>
      <c r="AW22" s="4">
        <v>19.55</v>
      </c>
      <c r="AX22" s="4">
        <v>19.920000000000002</v>
      </c>
      <c r="AY22" s="12">
        <v>21.28</v>
      </c>
      <c r="AZ22" s="12">
        <v>21.64</v>
      </c>
      <c r="BA22" s="12">
        <v>22.58</v>
      </c>
      <c r="BB22" s="18">
        <v>20.12</v>
      </c>
      <c r="BC22" s="63">
        <v>20.7</v>
      </c>
      <c r="BD22" s="63">
        <v>20.95</v>
      </c>
      <c r="BE22" s="63">
        <v>20.95</v>
      </c>
      <c r="BF22" s="63">
        <v>21</v>
      </c>
      <c r="BG22" s="91" cm="1">
        <f t="array" aca="1" ref="BG22" ca="1">_FV(EE22,"Preço")</f>
        <v>21.1</v>
      </c>
      <c r="BH22" s="93" t="s">
        <v>20</v>
      </c>
      <c r="BI22" s="32" cm="1">
        <f t="array" aca="1" ref="BI22" ca="1">_FV(EE22,"Beta")</f>
        <v>0.69099999999999995</v>
      </c>
      <c r="BJ22" s="96" cm="1">
        <f t="array" aca="1" ref="BJ22" ca="1">_FV(EE22,"Variação (%)",TRUE)</f>
        <v>-2.8544999999999997E-2</v>
      </c>
      <c r="BK22" s="49"/>
      <c r="BL22" s="49"/>
      <c r="BN22" s="32"/>
      <c r="BO22" s="20" cm="1">
        <f t="array" aca="1" ref="BO22" ca="1">_FV(EE22,"Baixo")</f>
        <v>20.82</v>
      </c>
      <c r="BP22" s="20" cm="1">
        <f t="array" aca="1" ref="BP22" ca="1">_FV(EE22,"Alto")</f>
        <v>21.5</v>
      </c>
      <c r="BQ22" s="32"/>
      <c r="BR22" s="74">
        <f ca="1">SQRT(22.5*(BG22/VLOOKUP(BH22,Fundamentus!A:U,3,FALSE))*(BG22/VLOOKUP(BH22,Fundamentus!A:U,4,FALSE)))</f>
        <v>30.011124533348614</v>
      </c>
      <c r="BT22" s="73">
        <f t="shared" ca="1" si="0"/>
        <v>4.76190476190483E-3</v>
      </c>
      <c r="BU22" s="36">
        <f t="shared" si="1"/>
        <v>-8.5152838427947575E-2</v>
      </c>
      <c r="BV22" s="8"/>
      <c r="BW22" s="72">
        <f t="shared" si="2"/>
        <v>16.8</v>
      </c>
      <c r="BX22" s="72">
        <f t="shared" si="3"/>
        <v>18.882672413793099</v>
      </c>
      <c r="BY22" s="72">
        <f t="shared" si="4"/>
        <v>22.9</v>
      </c>
      <c r="BZ22" s="17"/>
      <c r="CA22" s="17"/>
      <c r="CB22" s="43">
        <f t="shared" si="5"/>
        <v>20.888393926160703</v>
      </c>
      <c r="CC22" s="18">
        <f t="shared" si="6"/>
        <v>21.122914714151875</v>
      </c>
      <c r="CD22" s="43">
        <f t="shared" si="7"/>
        <v>21.357435502143048</v>
      </c>
      <c r="CE22" s="98">
        <f t="shared" ca="1" si="8"/>
        <v>-9.7708669445270041E-2</v>
      </c>
      <c r="CF22" s="17"/>
      <c r="CG22" s="20">
        <f t="shared" si="9"/>
        <v>11.466666666666672</v>
      </c>
      <c r="CH22" s="20">
        <f t="shared" si="10"/>
        <v>14.133333333333336</v>
      </c>
      <c r="CI22" s="20">
        <f t="shared" si="11"/>
        <v>17.56666666666667</v>
      </c>
      <c r="CJ22" s="49">
        <f t="shared" si="12"/>
        <v>20.233333333333334</v>
      </c>
      <c r="CK22" s="20">
        <f t="shared" si="13"/>
        <v>23.666666666666668</v>
      </c>
      <c r="CL22" s="20">
        <f t="shared" si="14"/>
        <v>26.333333333333332</v>
      </c>
      <c r="CM22" s="20">
        <f t="shared" si="15"/>
        <v>29.766666666666666</v>
      </c>
      <c r="CN22" s="2" cm="1">
        <f t="array" aca="1" ref="CN22" ca="1">MAX(_xlfn._xlws.FILTER(CG22:CM22,CG22:CM22&lt;BG22))</f>
        <v>20.233333333333334</v>
      </c>
      <c r="CO22" s="2" cm="1">
        <f t="array" aca="1" ref="CO22" ca="1">MIN(_xlfn._xlws.FILTER($CG22:$CM22,$CG22:$CM22&gt;BG22))</f>
        <v>23.666666666666668</v>
      </c>
      <c r="CP22" s="19">
        <f t="shared" ca="1" si="65"/>
        <v>0.16968698517298186</v>
      </c>
      <c r="CQ22" s="23">
        <f t="shared" ca="1" si="66"/>
        <v>-8.4843492586490932E-2</v>
      </c>
      <c r="CR22" s="23">
        <f t="shared" ca="1" si="67"/>
        <v>-5.6562328390993954E-2</v>
      </c>
      <c r="CS22" s="23">
        <f t="shared" ca="1" si="68"/>
        <v>-3.3937397034596375E-2</v>
      </c>
      <c r="CT22" s="23">
        <f t="shared" ca="1" si="69"/>
        <v>-1.8854109463664653E-2</v>
      </c>
      <c r="CU22" s="23">
        <f t="shared" ca="1" si="70"/>
        <v>-9.9815873631165803E-3</v>
      </c>
      <c r="CV22" s="23">
        <f t="shared" ca="1" si="71"/>
        <v>-5.1420298537267232E-3</v>
      </c>
      <c r="CW22" s="23">
        <f t="shared" ca="1" si="72"/>
        <v>-2.6105690026612593E-3</v>
      </c>
      <c r="CX22" s="24">
        <f t="shared" ca="1" si="73"/>
        <v>2.6105690026612593E-3</v>
      </c>
      <c r="CY22" s="24">
        <f t="shared" ca="1" si="74"/>
        <v>5.1420298537267232E-3</v>
      </c>
      <c r="CZ22" s="24">
        <f t="shared" ca="1" si="75"/>
        <v>9.9815873631165803E-3</v>
      </c>
      <c r="DA22" s="24">
        <f t="shared" ca="1" si="76"/>
        <v>1.8854109463664653E-2</v>
      </c>
      <c r="DB22" s="24">
        <f t="shared" ca="1" si="77"/>
        <v>3.3937397034596375E-2</v>
      </c>
      <c r="DC22" s="24">
        <f t="shared" ca="1" si="78"/>
        <v>5.6562328390993954E-2</v>
      </c>
      <c r="DD22" s="24">
        <f t="shared" ca="1" si="79"/>
        <v>8.4843492586490932E-2</v>
      </c>
      <c r="DF22" s="19" cm="1">
        <f t="array" aca="1" ref="DF22" ca="1">MAX(_xlfn._xlws.FILTER(CQ22:DD22,CQ22:DD22&lt;BJ22))</f>
        <v>-3.3937397034596375E-2</v>
      </c>
      <c r="DG22" s="19" cm="1">
        <f t="array" aca="1" ref="DG22" ca="1">MIN(_xlfn._xlws.FILTER(CQ22:DD22,CQ22:DD22&gt;BJ22))</f>
        <v>-1.8854109463664653E-2</v>
      </c>
      <c r="DH22" s="2" cm="1">
        <f t="array" aca="1" ref="DH22" ca="1">_FV(EE22,"Fechamento anterior",TRUE)</f>
        <v>21.72</v>
      </c>
      <c r="DI22" s="36">
        <f t="shared" ca="1" si="22"/>
        <v>0.35750013409859571</v>
      </c>
      <c r="DJ22" s="18">
        <f t="shared" ca="1" si="80"/>
        <v>20.982879736408567</v>
      </c>
      <c r="DK22" s="18">
        <f t="shared" ca="1" si="81"/>
        <v>21.310488742449202</v>
      </c>
      <c r="DL22" s="9"/>
      <c r="DM22" s="9"/>
      <c r="DN22" s="9"/>
      <c r="DO22" s="9"/>
      <c r="DP22" s="79">
        <v>5.6452079356816417E-3</v>
      </c>
      <c r="DQ22" s="79">
        <v>5.9965593511919386E-3</v>
      </c>
      <c r="DR22" s="79">
        <v>1.0190231577188916E-2</v>
      </c>
      <c r="DS22" s="79">
        <f t="shared" ca="1" si="25"/>
        <v>1.5083287570931723E-2</v>
      </c>
      <c r="DT22" s="47"/>
      <c r="DU22" s="43">
        <f t="shared" si="26"/>
        <v>0.1172603939955859</v>
      </c>
      <c r="DV22" s="83">
        <f t="shared" ca="1" si="27"/>
        <v>1.1171</v>
      </c>
      <c r="DW22" s="83">
        <f t="shared" ca="1" si="28"/>
        <v>3.5454999999999997</v>
      </c>
      <c r="DX22" s="83">
        <f t="shared" ca="1" si="29"/>
        <v>-2.4283999999999999</v>
      </c>
      <c r="DY22" s="67"/>
      <c r="DZ22" s="67"/>
      <c r="EA22" s="85"/>
      <c r="EB22" s="44">
        <v>1900</v>
      </c>
      <c r="EC22" s="44" cm="1">
        <f t="array" aca="1" ref="EC22" ca="1">_FV(EE22,"Volume")</f>
        <v>3700</v>
      </c>
      <c r="EE22" s="2" t="e" vm="22">
        <v>#VALUE!</v>
      </c>
      <c r="EG22" s="10" cm="1">
        <f t="array" aca="1" ref="EG22" ca="1">_FV(EE22,"Ações em circulação",TRUE)</f>
        <v>72081910</v>
      </c>
      <c r="EH22" s="21">
        <f>VLOOKUP(BH22,Fundamentus!A:U,5,FALSE)</f>
        <v>3.83</v>
      </c>
      <c r="EI22" s="2">
        <f t="shared" ca="1" si="30"/>
        <v>397109216.97127938</v>
      </c>
      <c r="EJ22" s="20">
        <v>238084854.89921674</v>
      </c>
      <c r="EK22" s="20">
        <f t="shared" ca="1" si="31"/>
        <v>239218592.30349872</v>
      </c>
      <c r="EM22" s="40" t="str">
        <f>IF(VLOOKUP(BH22,Fundamentus!A:U,3,FALSE)&lt;15,"Bom",IF(VLOOKUP(BH22,Fundamentus!A:U,3,FALSE)&gt;15,"Ruim","n/a"))</f>
        <v>Bom</v>
      </c>
      <c r="EN22" s="36" t="str">
        <f>IF(VLOOKUP(BH22,Fundamentus!A:U,4,FALSE)&lt;1,"Baixo",IF(VLOOKUP(BH22,Fundamentus!A:U,4,FALSE)&lt;1.5,"Moderado",IF(VLOOKUP(BH22,Fundamentus!A:U,4,FALSE)&gt;1.5,"Alto","n/a")))</f>
        <v>Moderado</v>
      </c>
      <c r="EO22" s="20" t="str">
        <f>IF(VLOOKUP(BH22,Fundamentus!A:U,8,FALSE)&lt;0,"Risco elevado",IF(VLOOKUP(BH22,Fundamentus!A:U,8,FALSE)&lt;1,"Saudável",IF(VLOOKUP(BH22,Fundamentus!A:U,8,FALSE)&lt;3,"Estável",IF(VLOOKUP(BH22,Fundamentus!A:U,8,FALSE)&gt;3,"Alerta","n/a"))))</f>
        <v>Estável</v>
      </c>
      <c r="EP22" s="36" t="str">
        <f t="shared" si="32"/>
        <v>Bom</v>
      </c>
      <c r="EQ22" s="20" t="str">
        <f>IF(VLOOKUP(BH22,Fundamentus!A:U,12,FALSE)&lt;2,"Subvalorizada",IF(VLOOKUP(BH22,Fundamentus!A:U,12,FALSE)&lt;6,"Muita barata",IF(VLOOKUP(BH22,Fundamentus!A:U,12,FALSE)&lt;6,"Barata",IF(VLOOKUP(BH22,Fundamentus!A:U,12,FALSE)&lt;8,"Atrativa",IF(VLOOKUP(BH22,Fundamentus!A:U,12,FALSE)&gt;8,"Supervalorizada","n/a")))))</f>
        <v>Muita barata</v>
      </c>
      <c r="ES22" s="20" t="str">
        <f>IF(VLOOKUP(BH22,Fundamentus!A:U,17,FALSE)&lt;0.1,"Fraco retorno",IF(VLOOKUP(BH22,Fundamentus!A:U,17,FALSE)&gt;0.1,"Bom retorno","n/a"))</f>
        <v>Bom retorno</v>
      </c>
      <c r="ET22" s="20" t="str">
        <f>IF(VLOOKUP(BH22,Fundamentus!A:U,16,FALSE)&lt;0.1,"Ineficiente",IF(VLOOKUP(BH22,Fundamentus!A:U,16,FALSE)&gt;0.1,"Eficiente","n/a"))</f>
        <v>Eficiente</v>
      </c>
      <c r="EU22" s="41" t="str">
        <f>IF(VLOOKUP(BH22,Fundamentus!A:U,16,FALSE)&lt;0.1,"Oper. Ineficiente",IF(VLOOKUP(BH22,Fundamentus!A:U,16,FALSE)&gt;0.1,"Oper.Eficiente","n/a"))</f>
        <v>Oper.Eficiente</v>
      </c>
      <c r="EV22" s="42">
        <f>VLOOKUP(BH22,Fundamentus!A:U,14,FALSE)</f>
        <v>0.60240000000000005</v>
      </c>
      <c r="EW22" s="20" t="str">
        <f>IF(VLOOKUP(BH22,Fundamentus!A:U,21,FALSE)&lt;0,"Negativo",IF(VLOOKUP(BH22,Fundamentus!A:U,21,FALSE)&lt;0.05,"Fraco",IF(VLOOKUP(BH22,Fundamentus!A:U,21,FALSE)&lt;0.1,"Bom",IF(VLOOKUP(BH22,Fundamentus!A:U,21,FALSE)&gt;0.1,"Muito bom","n/a"))))</f>
        <v>Fraco</v>
      </c>
      <c r="EY22" s="37" t="str">
        <f>IF(VLOOKUP(BH22,Fundamentus!A:U,15,FALSE)&gt;1,"Bom",IF(VLOOKUP(BH22,Fundamentus!A:U,15,FALSE)&lt;1,"Ruim","n/a"))</f>
        <v>Bom</v>
      </c>
      <c r="EZ22" s="20" t="str">
        <f>IF(VLOOKUP(BH22,Fundamentus!A:U,20,FALSE)&lt;0.5,"Baixa",IF(VLOOKUP(BH22,Fundamentus!A:U,20,FALSE)&lt;1,"Moderada",IF(VLOOKUP(BH22,Fundamentus!A:U,20,FALSE)&lt;2,"Alerta",IF(VLOOKUP(BH22,Fundamentus!A:U,20,FALSE)&gt;2,"Alta","n/a"))))</f>
        <v>Baixa</v>
      </c>
    </row>
    <row r="23" spans="1:157" s="2" customFormat="1" ht="11.25" hidden="1" x14ac:dyDescent="0.2">
      <c r="A23" s="4">
        <v>13.18</v>
      </c>
      <c r="B23" s="4">
        <v>12.55</v>
      </c>
      <c r="C23" s="4">
        <v>12.06</v>
      </c>
      <c r="D23" s="4">
        <v>11.58</v>
      </c>
      <c r="E23" s="4">
        <v>11.51</v>
      </c>
      <c r="F23" s="4">
        <v>11.01</v>
      </c>
      <c r="G23" s="4">
        <v>10.3</v>
      </c>
      <c r="H23" s="4">
        <v>10.19</v>
      </c>
      <c r="I23" s="4">
        <v>10.76</v>
      </c>
      <c r="J23" s="4">
        <v>11.41</v>
      </c>
      <c r="K23" s="4">
        <v>10.7</v>
      </c>
      <c r="L23" s="4">
        <v>10.71</v>
      </c>
      <c r="M23" s="4">
        <v>10.7</v>
      </c>
      <c r="N23" s="4">
        <v>10.56</v>
      </c>
      <c r="O23" s="4">
        <v>10.77</v>
      </c>
      <c r="P23" s="4">
        <v>11.96</v>
      </c>
      <c r="Q23" s="4">
        <v>14.39</v>
      </c>
      <c r="R23" s="4">
        <v>13.28</v>
      </c>
      <c r="S23" s="4">
        <v>13.17</v>
      </c>
      <c r="T23" s="4">
        <v>13.3</v>
      </c>
      <c r="U23" s="4">
        <v>12.81</v>
      </c>
      <c r="V23" s="4">
        <v>12.29</v>
      </c>
      <c r="W23" s="4">
        <v>12.4</v>
      </c>
      <c r="X23" s="4">
        <v>12.06</v>
      </c>
      <c r="Y23" s="4">
        <v>12.44</v>
      </c>
      <c r="Z23" s="4">
        <v>12.9</v>
      </c>
      <c r="AA23" s="4">
        <v>13.55</v>
      </c>
      <c r="AB23" s="4">
        <v>14.52</v>
      </c>
      <c r="AC23" s="4">
        <v>15.27</v>
      </c>
      <c r="AD23" s="4">
        <v>15</v>
      </c>
      <c r="AE23" s="4">
        <v>14.06</v>
      </c>
      <c r="AF23" s="4">
        <v>13.94</v>
      </c>
      <c r="AG23" s="4">
        <v>13.4</v>
      </c>
      <c r="AH23" s="4">
        <v>13.2</v>
      </c>
      <c r="AI23" s="4">
        <v>13.46</v>
      </c>
      <c r="AJ23" s="4">
        <v>13</v>
      </c>
      <c r="AK23" s="4">
        <v>12.99</v>
      </c>
      <c r="AL23" s="4">
        <v>13.58</v>
      </c>
      <c r="AM23" s="4">
        <v>14.25</v>
      </c>
      <c r="AN23" s="4">
        <v>16.02</v>
      </c>
      <c r="AO23" s="4">
        <v>16.2</v>
      </c>
      <c r="AP23" s="4">
        <v>16.440000000000001</v>
      </c>
      <c r="AQ23" s="4">
        <v>16.91</v>
      </c>
      <c r="AR23" s="4">
        <v>16.37</v>
      </c>
      <c r="AS23" s="4">
        <v>16.260000000000002</v>
      </c>
      <c r="AT23" s="4">
        <v>17.45</v>
      </c>
      <c r="AU23" s="4">
        <v>17.385000000000002</v>
      </c>
      <c r="AV23" s="4">
        <v>16.739999999999998</v>
      </c>
      <c r="AW23" s="4">
        <v>16.88</v>
      </c>
      <c r="AX23" s="4">
        <v>17.100000000000001</v>
      </c>
      <c r="AY23" s="12">
        <v>17.649999999999999</v>
      </c>
      <c r="AZ23" s="12">
        <v>17.170000000000002</v>
      </c>
      <c r="BA23" s="12">
        <v>16.95</v>
      </c>
      <c r="BB23" s="18">
        <v>16.34</v>
      </c>
      <c r="BC23" s="63">
        <v>16.93</v>
      </c>
      <c r="BD23" s="63">
        <v>16.46</v>
      </c>
      <c r="BE23" s="63">
        <v>16</v>
      </c>
      <c r="BF23" s="63">
        <v>15.89</v>
      </c>
      <c r="BG23" s="91" cm="1">
        <f t="array" aca="1" ref="BG23" ca="1">_FV(EE23,"Preço")</f>
        <v>15.11</v>
      </c>
      <c r="BH23" s="93" t="s">
        <v>21</v>
      </c>
      <c r="BI23" s="32" cm="1">
        <f t="array" aca="1" ref="BI23" ca="1">_FV(EE23,"Beta")</f>
        <v>1.0681</v>
      </c>
      <c r="BJ23" s="96" cm="1">
        <f t="array" aca="1" ref="BJ23" ca="1">_FV(EE23,"Variação (%)",TRUE)</f>
        <v>-1.4351000000000001E-2</v>
      </c>
      <c r="BK23" s="49"/>
      <c r="BL23" s="49"/>
      <c r="BN23" s="32"/>
      <c r="BO23" s="20" cm="1">
        <f t="array" aca="1" ref="BO23" ca="1">_FV(EE23,"Baixo")</f>
        <v>15.03</v>
      </c>
      <c r="BP23" s="20" cm="1">
        <f t="array" aca="1" ref="BP23" ca="1">_FV(EE23,"Alto")</f>
        <v>15.29</v>
      </c>
      <c r="BQ23" s="32"/>
      <c r="BR23" s="74">
        <f ca="1">SQRT(22.5*(BG23/VLOOKUP(BH23,Fundamentus!A:U,3,FALSE))*(BG23/VLOOKUP(BH23,Fundamentus!A:U,4,FALSE)))</f>
        <v>5.8195175506180075</v>
      </c>
      <c r="BT23" s="73">
        <f t="shared" ca="1" si="0"/>
        <v>-4.9087476400251802E-2</v>
      </c>
      <c r="BU23" s="36">
        <f t="shared" si="1"/>
        <v>0.21396054628224587</v>
      </c>
      <c r="BV23" s="8"/>
      <c r="BW23" s="72">
        <f t="shared" si="2"/>
        <v>10.19</v>
      </c>
      <c r="BX23" s="72">
        <f t="shared" si="3"/>
        <v>13.902672413793104</v>
      </c>
      <c r="BY23" s="72">
        <f t="shared" si="4"/>
        <v>17.649999999999999</v>
      </c>
      <c r="BZ23" s="17"/>
      <c r="CA23" s="17"/>
      <c r="CB23" s="43">
        <f t="shared" si="5"/>
        <v>14.621627423901202</v>
      </c>
      <c r="CC23" s="18">
        <f t="shared" si="6"/>
        <v>15.445641986879309</v>
      </c>
      <c r="CD23" s="43">
        <f t="shared" si="7"/>
        <v>16.269656549857416</v>
      </c>
      <c r="CE23" s="98">
        <f t="shared" ca="1" si="8"/>
        <v>-0.40732530947784634</v>
      </c>
      <c r="CF23" s="17"/>
      <c r="CG23" s="20">
        <f t="shared" si="9"/>
        <v>4.0433333333333348</v>
      </c>
      <c r="CH23" s="20">
        <f t="shared" si="10"/>
        <v>7.1166666666666671</v>
      </c>
      <c r="CI23" s="20">
        <f t="shared" si="11"/>
        <v>11.503333333333334</v>
      </c>
      <c r="CJ23" s="49">
        <f t="shared" si="12"/>
        <v>14.576666666666666</v>
      </c>
      <c r="CK23" s="20">
        <f t="shared" si="13"/>
        <v>18.963333333333331</v>
      </c>
      <c r="CL23" s="20">
        <f t="shared" si="14"/>
        <v>22.036666666666665</v>
      </c>
      <c r="CM23" s="20">
        <f t="shared" si="15"/>
        <v>26.423333333333332</v>
      </c>
      <c r="CN23" s="2" cm="1">
        <f t="array" aca="1" ref="CN23" ca="1">MAX(_xlfn._xlws.FILTER(CG23:CM23,CG23:CM23&lt;BG23))</f>
        <v>14.576666666666666</v>
      </c>
      <c r="CO23" s="2" cm="1">
        <f t="array" aca="1" ref="CO23" ca="1">MIN(_xlfn._xlws.FILTER($CG23:$CM23,$CG23:$CM23&gt;BG23))</f>
        <v>18.963333333333331</v>
      </c>
      <c r="CP23" s="19">
        <f t="shared" ca="1" si="65"/>
        <v>0.30093757146123923</v>
      </c>
      <c r="CQ23" s="23">
        <f t="shared" ca="1" si="66"/>
        <v>-0.15046878573061961</v>
      </c>
      <c r="CR23" s="23">
        <f t="shared" ca="1" si="67"/>
        <v>-0.10031252382041307</v>
      </c>
      <c r="CS23" s="23">
        <f t="shared" ca="1" si="68"/>
        <v>-6.0187514292247848E-2</v>
      </c>
      <c r="CT23" s="23">
        <f t="shared" ca="1" si="69"/>
        <v>-3.3437507940137695E-2</v>
      </c>
      <c r="CU23" s="23">
        <f t="shared" ca="1" si="70"/>
        <v>-1.7702210085955249E-2</v>
      </c>
      <c r="CV23" s="23">
        <f t="shared" ca="1" si="71"/>
        <v>-9.1193203473102797E-3</v>
      </c>
      <c r="CW23" s="23">
        <f t="shared" ca="1" si="72"/>
        <v>-4.6298087917113727E-3</v>
      </c>
      <c r="CX23" s="24">
        <f t="shared" ca="1" si="73"/>
        <v>4.6298087917113727E-3</v>
      </c>
      <c r="CY23" s="24">
        <f t="shared" ca="1" si="74"/>
        <v>9.1193203473102797E-3</v>
      </c>
      <c r="CZ23" s="24">
        <f t="shared" ca="1" si="75"/>
        <v>1.7702210085955249E-2</v>
      </c>
      <c r="DA23" s="24">
        <f t="shared" ca="1" si="76"/>
        <v>3.3437507940137695E-2</v>
      </c>
      <c r="DB23" s="24">
        <f t="shared" ca="1" si="77"/>
        <v>6.0187514292247848E-2</v>
      </c>
      <c r="DC23" s="24">
        <f t="shared" ca="1" si="78"/>
        <v>0.10031252382041307</v>
      </c>
      <c r="DD23" s="24">
        <f t="shared" ca="1" si="79"/>
        <v>0.15046878573061961</v>
      </c>
      <c r="DF23" s="19" cm="1">
        <f t="array" aca="1" ref="DF23" ca="1">MAX(_xlfn._xlws.FILTER(CQ23:DD23,CQ23:DD23&lt;BJ23))</f>
        <v>-1.7702210085955249E-2</v>
      </c>
      <c r="DG23" s="19" cm="1">
        <f t="array" aca="1" ref="DG23" ca="1">MIN(_xlfn._xlws.FILTER(CQ23:DD23,CQ23:DD23&gt;BJ23))</f>
        <v>-9.1193203473102797E-3</v>
      </c>
      <c r="DH23" s="2" cm="1">
        <f t="array" aca="1" ref="DH23" ca="1">_FV(EE23,"Fechamento anterior",TRUE)</f>
        <v>15.33</v>
      </c>
      <c r="DI23" s="36">
        <f t="shared" ca="1" si="22"/>
        <v>0.39045873012567717</v>
      </c>
      <c r="DJ23" s="18">
        <f t="shared" ca="1" si="80"/>
        <v>15.058625119382306</v>
      </c>
      <c r="DK23" s="18">
        <f t="shared" ca="1" si="81"/>
        <v>15.190200819075734</v>
      </c>
      <c r="DL23" s="9"/>
      <c r="DM23" s="9"/>
      <c r="DN23" s="9"/>
      <c r="DO23" s="9"/>
      <c r="DP23" s="79">
        <v>3.3967170485941826E-2</v>
      </c>
      <c r="DQ23" s="79">
        <v>7.8385778044481151E-3</v>
      </c>
      <c r="DR23" s="79">
        <v>7.2657049167790012E-3</v>
      </c>
      <c r="DS23" s="79">
        <f t="shared" ca="1" si="25"/>
        <v>8.5828897386449696E-3</v>
      </c>
      <c r="DT23" s="47"/>
      <c r="DU23" s="43">
        <f t="shared" si="26"/>
        <v>0.41200728148905313</v>
      </c>
      <c r="DV23" s="83">
        <f t="shared" ca="1" si="27"/>
        <v>1.4942</v>
      </c>
      <c r="DW23" s="83">
        <f t="shared" ca="1" si="28"/>
        <v>2.5032000000000001</v>
      </c>
      <c r="DX23" s="83">
        <f t="shared" ca="1" si="29"/>
        <v>-1.0090000000000001</v>
      </c>
      <c r="DY23" s="67"/>
      <c r="DZ23" s="67"/>
      <c r="EA23" s="85"/>
      <c r="EB23" s="44">
        <v>381600</v>
      </c>
      <c r="EC23" s="44" cm="1">
        <f t="array" aca="1" ref="EC23" ca="1">_FV(EE23,"Volume")</f>
        <v>160500</v>
      </c>
      <c r="EE23" s="2" t="e" vm="23">
        <v>#VALUE!</v>
      </c>
      <c r="EG23" s="10" cm="1">
        <f t="array" aca="1" ref="EG23" ca="1">_FV(EE23,"Ações em circulação",TRUE)</f>
        <v>46720760</v>
      </c>
      <c r="EH23" s="21">
        <f>VLOOKUP(BH23,Fundamentus!A:U,5,FALSE)</f>
        <v>0.58699999999999997</v>
      </c>
      <c r="EI23" s="2">
        <f t="shared" ca="1" si="30"/>
        <v>1202641709.710392</v>
      </c>
      <c r="EJ23" s="20">
        <v>29215120.008245315</v>
      </c>
      <c r="EK23" s="20">
        <f t="shared" ca="1" si="31"/>
        <v>27781023.494310055</v>
      </c>
      <c r="EM23" s="40" t="str">
        <f>IF(VLOOKUP(BH23,Fundamentus!A:U,3,FALSE)&lt;15,"Bom",IF(VLOOKUP(BH23,Fundamentus!A:U,3,FALSE)&gt;15,"Ruim","n/a"))</f>
        <v>Ruim</v>
      </c>
      <c r="EN23" s="36" t="str">
        <f>IF(VLOOKUP(BH23,Fundamentus!A:U,4,FALSE)&lt;1,"Baixo",IF(VLOOKUP(BH23,Fundamentus!A:U,4,FALSE)&lt;1.5,"Moderado",IF(VLOOKUP(BH23,Fundamentus!A:U,4,FALSE)&gt;1.5,"Alto","n/a")))</f>
        <v>Alto</v>
      </c>
      <c r="EO23" s="20" t="str">
        <f>IF(VLOOKUP(BH23,Fundamentus!A:U,8,FALSE)&lt;0,"Risco elevado",IF(VLOOKUP(BH23,Fundamentus!A:U,8,FALSE)&lt;1,"Saudável",IF(VLOOKUP(BH23,Fundamentus!A:U,8,FALSE)&lt;3,"Estável",IF(VLOOKUP(BH23,Fundamentus!A:U,8,FALSE)&gt;3,"Alerta","n/a"))))</f>
        <v>Estável</v>
      </c>
      <c r="EP23" s="36" t="str">
        <f t="shared" si="32"/>
        <v>Ruim</v>
      </c>
      <c r="EQ23" s="20" t="str">
        <f>IF(VLOOKUP(BH23,Fundamentus!A:U,12,FALSE)&lt;2,"Subvalorizada",IF(VLOOKUP(BH23,Fundamentus!A:U,12,FALSE)&lt;6,"Muita barata",IF(VLOOKUP(BH23,Fundamentus!A:U,12,FALSE)&lt;6,"Barata",IF(VLOOKUP(BH23,Fundamentus!A:U,12,FALSE)&lt;8,"Atrativa",IF(VLOOKUP(BH23,Fundamentus!A:U,12,FALSE)&gt;8,"Supervalorizada","n/a")))))</f>
        <v>Atrativa</v>
      </c>
      <c r="ES23" s="20" t="str">
        <f>IF(VLOOKUP(BH23,Fundamentus!A:U,17,FALSE)&lt;0.1,"Fraco retorno",IF(VLOOKUP(BH23,Fundamentus!A:U,17,FALSE)&gt;0.1,"Bom retorno","n/a"))</f>
        <v>Fraco retorno</v>
      </c>
      <c r="ET23" s="20" t="str">
        <f>IF(VLOOKUP(BH23,Fundamentus!A:U,16,FALSE)&lt;0.1,"Ineficiente",IF(VLOOKUP(BH23,Fundamentus!A:U,16,FALSE)&gt;0.1,"Eficiente","n/a"))</f>
        <v>Ineficiente</v>
      </c>
      <c r="EU23" s="41" t="str">
        <f>IF(VLOOKUP(BH23,Fundamentus!A:U,16,FALSE)&lt;0.1,"Oper. Ineficiente",IF(VLOOKUP(BH23,Fundamentus!A:U,16,FALSE)&gt;0.1,"Oper.Eficiente","n/a"))</f>
        <v>Oper. Ineficiente</v>
      </c>
      <c r="EV23" s="42">
        <f>VLOOKUP(BH23,Fundamentus!A:U,14,FALSE)</f>
        <v>2.3099999999999999E-2</v>
      </c>
      <c r="EW23" s="20" t="str">
        <f>IF(VLOOKUP(BH23,Fundamentus!A:U,21,FALSE)&lt;0,"Negativo",IF(VLOOKUP(BH23,Fundamentus!A:U,21,FALSE)&lt;0.05,"Fraco",IF(VLOOKUP(BH23,Fundamentus!A:U,21,FALSE)&lt;0.1,"Bom",IF(VLOOKUP(BH23,Fundamentus!A:U,21,FALSE)&gt;0.1,"Muito bom","n/a"))))</f>
        <v>Muito bom</v>
      </c>
      <c r="EY23" s="37" t="str">
        <f>IF(VLOOKUP(BH23,Fundamentus!A:U,15,FALSE)&gt;1,"Bom",IF(VLOOKUP(BH23,Fundamentus!A:U,15,FALSE)&lt;1,"Ruim","n/a"))</f>
        <v>Bom</v>
      </c>
      <c r="EZ23" s="20" t="str">
        <f>IF(VLOOKUP(BH23,Fundamentus!A:U,20,FALSE)&lt;0.5,"Baixa",IF(VLOOKUP(BH23,Fundamentus!A:U,20,FALSE)&lt;1,"Moderada",IF(VLOOKUP(BH23,Fundamentus!A:U,20,FALSE)&lt;2,"Alerta",IF(VLOOKUP(BH23,Fundamentus!A:U,20,FALSE)&gt;2,"Alta","n/a"))))</f>
        <v>Alerta</v>
      </c>
    </row>
    <row r="24" spans="1:157" s="2" customFormat="1" ht="11.25" hidden="1" x14ac:dyDescent="0.2">
      <c r="A24" s="4">
        <v>10.52</v>
      </c>
      <c r="B24" s="4">
        <v>10.28</v>
      </c>
      <c r="C24" s="4">
        <v>10.39</v>
      </c>
      <c r="D24" s="4">
        <v>10.35</v>
      </c>
      <c r="E24" s="4">
        <v>9.94</v>
      </c>
      <c r="F24" s="4">
        <v>10.18</v>
      </c>
      <c r="G24" s="4">
        <v>10.01</v>
      </c>
      <c r="H24" s="4">
        <v>10.51</v>
      </c>
      <c r="I24" s="4">
        <v>9.9</v>
      </c>
      <c r="J24" s="4">
        <v>10.37</v>
      </c>
      <c r="K24" s="4">
        <v>10.68</v>
      </c>
      <c r="L24" s="4">
        <v>10.55</v>
      </c>
      <c r="M24" s="4">
        <v>10.78</v>
      </c>
      <c r="N24" s="4">
        <v>10.68</v>
      </c>
      <c r="O24" s="4">
        <v>10.86</v>
      </c>
      <c r="P24" s="4">
        <v>11.61</v>
      </c>
      <c r="Q24" s="4">
        <v>12.01</v>
      </c>
      <c r="R24" s="4">
        <v>11.63</v>
      </c>
      <c r="S24" s="4">
        <v>11.84</v>
      </c>
      <c r="T24" s="4">
        <v>11.77</v>
      </c>
      <c r="U24" s="4">
        <v>11.57</v>
      </c>
      <c r="V24" s="4">
        <v>11.32</v>
      </c>
      <c r="W24" s="4">
        <v>11.16</v>
      </c>
      <c r="X24" s="4">
        <v>11.02</v>
      </c>
      <c r="Y24" s="4">
        <v>11.03</v>
      </c>
      <c r="Z24" s="4">
        <v>11.15</v>
      </c>
      <c r="AA24" s="4">
        <v>11.36</v>
      </c>
      <c r="AB24" s="4">
        <v>11.3</v>
      </c>
      <c r="AC24" s="4">
        <v>12.09</v>
      </c>
      <c r="AD24" s="4">
        <v>11.7</v>
      </c>
      <c r="AE24" s="4">
        <v>11.91</v>
      </c>
      <c r="AF24" s="4">
        <v>11.5</v>
      </c>
      <c r="AG24" s="4">
        <v>11.42</v>
      </c>
      <c r="AH24" s="4">
        <v>11.1</v>
      </c>
      <c r="AI24" s="4">
        <v>11.04</v>
      </c>
      <c r="AJ24" s="4">
        <v>10.84</v>
      </c>
      <c r="AK24" s="4">
        <v>10.47</v>
      </c>
      <c r="AL24" s="4">
        <v>10.46</v>
      </c>
      <c r="AM24" s="4">
        <v>10.5</v>
      </c>
      <c r="AN24" s="4">
        <v>10.96</v>
      </c>
      <c r="AO24" s="4">
        <v>10.97</v>
      </c>
      <c r="AP24" s="4">
        <v>11.38</v>
      </c>
      <c r="AQ24" s="4">
        <v>11.25</v>
      </c>
      <c r="AR24" s="4">
        <v>11.13</v>
      </c>
      <c r="AS24" s="4">
        <v>11.36</v>
      </c>
      <c r="AT24" s="4">
        <v>10.98</v>
      </c>
      <c r="AU24" s="4">
        <v>11.055</v>
      </c>
      <c r="AV24" s="4">
        <v>10.36</v>
      </c>
      <c r="AW24" s="4">
        <v>10</v>
      </c>
      <c r="AX24" s="4">
        <v>10.11</v>
      </c>
      <c r="AY24" s="12">
        <v>10.35</v>
      </c>
      <c r="AZ24" s="12">
        <v>10.93</v>
      </c>
      <c r="BA24" s="12">
        <v>10.95</v>
      </c>
      <c r="BB24" s="18">
        <v>10.41</v>
      </c>
      <c r="BC24" s="63">
        <v>10.53</v>
      </c>
      <c r="BD24" s="63">
        <v>10.7</v>
      </c>
      <c r="BE24" s="63">
        <v>10.84</v>
      </c>
      <c r="BF24" s="63">
        <v>10.48</v>
      </c>
      <c r="BG24" s="91" cm="1">
        <f t="array" aca="1" ref="BG24" ca="1">_FV(EE24,"Preço")</f>
        <v>10.57</v>
      </c>
      <c r="BH24" s="93" t="s">
        <v>22</v>
      </c>
      <c r="BI24" s="32" cm="1">
        <f t="array" aca="1" ref="BI24" ca="1">_FV(EE24,"Beta")</f>
        <v>0.81599999999999995</v>
      </c>
      <c r="BJ24" s="96" cm="1">
        <f t="array" aca="1" ref="BJ24" ca="1">_FV(EE24,"Variação (%)",TRUE)</f>
        <v>3.7990000000000003E-3</v>
      </c>
      <c r="BK24" s="94"/>
      <c r="BL24" s="94"/>
      <c r="BN24" s="32"/>
      <c r="BO24" s="20" cm="1">
        <f t="array" aca="1" ref="BO24" ca="1">_FV(EE24,"Baixo")</f>
        <v>10.41</v>
      </c>
      <c r="BP24" s="20" cm="1">
        <f t="array" aca="1" ref="BP24" ca="1">_FV(EE24,"Alto")</f>
        <v>10.65</v>
      </c>
      <c r="BQ24" s="32"/>
      <c r="BR24" s="74">
        <f ca="1">SQRT(22.5*(BG24/VLOOKUP(BH24,Fundamentus!A:U,3,FALSE))*(BG24/VLOOKUP(BH24,Fundamentus!A:U,4,FALSE)))</f>
        <v>23.649958633004552</v>
      </c>
      <c r="BT24" s="73">
        <f t="shared" ca="1" si="0"/>
        <v>8.5877862595419713E-3</v>
      </c>
      <c r="BU24" s="36">
        <f t="shared" si="1"/>
        <v>3.041825095057037E-2</v>
      </c>
      <c r="BV24" s="8"/>
      <c r="BW24" s="72">
        <f t="shared" si="2"/>
        <v>9.9</v>
      </c>
      <c r="BX24" s="72">
        <f t="shared" si="3"/>
        <v>10.90594827586207</v>
      </c>
      <c r="BY24" s="72">
        <f t="shared" si="4"/>
        <v>12.09</v>
      </c>
      <c r="BZ24" s="17"/>
      <c r="CA24" s="17"/>
      <c r="CB24" s="43">
        <f t="shared" si="5"/>
        <v>10.357236567861511</v>
      </c>
      <c r="CC24" s="18">
        <f t="shared" si="6"/>
        <v>10.64232427366448</v>
      </c>
      <c r="CD24" s="43">
        <f t="shared" si="7"/>
        <v>10.927411979467449</v>
      </c>
      <c r="CE24" s="98">
        <f t="shared" ca="1" si="8"/>
        <v>-0.2536913104013846</v>
      </c>
      <c r="CF24" s="17"/>
      <c r="CG24" s="20">
        <f t="shared" si="9"/>
        <v>7.3666666666666654</v>
      </c>
      <c r="CH24" s="20">
        <f t="shared" si="10"/>
        <v>8.6333333333333329</v>
      </c>
      <c r="CI24" s="20">
        <f t="shared" si="11"/>
        <v>9.5566666666666649</v>
      </c>
      <c r="CJ24" s="49">
        <f t="shared" si="12"/>
        <v>10.823333333333332</v>
      </c>
      <c r="CK24" s="20">
        <f t="shared" si="13"/>
        <v>11.746666666666664</v>
      </c>
      <c r="CL24" s="20">
        <f t="shared" si="14"/>
        <v>13.013333333333332</v>
      </c>
      <c r="CM24" s="20">
        <f t="shared" si="15"/>
        <v>13.936666666666664</v>
      </c>
      <c r="CN24" s="2" cm="1">
        <f t="array" aca="1" ref="CN24" ca="1">MAX(_xlfn._xlws.FILTER(CG24:CM24,CG24:CM24&lt;BG24))</f>
        <v>9.5566666666666649</v>
      </c>
      <c r="CO24" s="2" cm="1">
        <f t="array" aca="1" ref="CO24" ca="1">MIN(_xlfn._xlws.FILTER($CG24:$CM24,$CG24:$CM24&gt;BG24))</f>
        <v>10.823333333333332</v>
      </c>
      <c r="CP24" s="19">
        <f t="shared" ca="1" si="65"/>
        <v>0.13254272758981522</v>
      </c>
      <c r="CQ24" s="23">
        <f t="shared" ca="1" si="66"/>
        <v>-6.6271363794907612E-2</v>
      </c>
      <c r="CR24" s="23">
        <f t="shared" ca="1" si="67"/>
        <v>-4.4180909196605077E-2</v>
      </c>
      <c r="CS24" s="23">
        <f t="shared" ca="1" si="68"/>
        <v>-2.6508545517963045E-2</v>
      </c>
      <c r="CT24" s="23">
        <f t="shared" ca="1" si="69"/>
        <v>-1.4726969732201691E-2</v>
      </c>
      <c r="CU24" s="23">
        <f t="shared" ca="1" si="70"/>
        <v>-7.7966310346950134E-3</v>
      </c>
      <c r="CV24" s="23">
        <f t="shared" ca="1" si="71"/>
        <v>-4.0164462906004611E-3</v>
      </c>
      <c r="CW24" s="23">
        <f t="shared" ca="1" si="72"/>
        <v>-2.0391188859971571E-3</v>
      </c>
      <c r="CX24" s="24">
        <f t="shared" ca="1" si="73"/>
        <v>2.0391188859971571E-3</v>
      </c>
      <c r="CY24" s="24">
        <f t="shared" ca="1" si="74"/>
        <v>4.0164462906004611E-3</v>
      </c>
      <c r="CZ24" s="24">
        <f t="shared" ca="1" si="75"/>
        <v>7.7966310346950134E-3</v>
      </c>
      <c r="DA24" s="24">
        <f t="shared" ca="1" si="76"/>
        <v>1.4726969732201691E-2</v>
      </c>
      <c r="DB24" s="24">
        <f t="shared" ca="1" si="77"/>
        <v>2.6508545517963045E-2</v>
      </c>
      <c r="DC24" s="24">
        <f t="shared" ca="1" si="78"/>
        <v>4.4180909196605077E-2</v>
      </c>
      <c r="DD24" s="24">
        <f t="shared" ca="1" si="79"/>
        <v>6.6271363794907612E-2</v>
      </c>
      <c r="DF24" s="19" cm="1">
        <f t="array" aca="1" ref="DF24" ca="1">MAX(_xlfn._xlws.FILTER(CQ24:DD24,CQ24:DD24&lt;BJ24))</f>
        <v>2.0391188859971571E-3</v>
      </c>
      <c r="DG24" s="19" cm="1">
        <f t="array" aca="1" ref="DG24" ca="1">MIN(_xlfn._xlws.FILTER(CQ24:DD24,CQ24:DD24&gt;BJ24))</f>
        <v>4.0164462906004611E-3</v>
      </c>
      <c r="DH24" s="2" cm="1">
        <f t="array" aca="1" ref="DH24" ca="1">_FV(EE24,"Fechamento anterior",TRUE)</f>
        <v>10.53</v>
      </c>
      <c r="DI24" s="36">
        <f t="shared" ca="1" si="22"/>
        <v>0.88986354775833454</v>
      </c>
      <c r="DJ24" s="18">
        <f t="shared" ca="1" si="80"/>
        <v>10.551471921869549</v>
      </c>
      <c r="DK24" s="18">
        <f t="shared" ca="1" si="81"/>
        <v>10.572293179440022</v>
      </c>
      <c r="DL24" s="9"/>
      <c r="DM24" s="9"/>
      <c r="DN24" s="9"/>
      <c r="DO24" s="9"/>
      <c r="DP24" s="79">
        <v>1.7437681159420272E-2</v>
      </c>
      <c r="DQ24" s="79">
        <v>4.5194741487284938E-3</v>
      </c>
      <c r="DR24" s="79">
        <v>6.8383063370275584E-3</v>
      </c>
      <c r="DS24" s="79">
        <f t="shared" ca="1" si="25"/>
        <v>1.9773274046033041E-3</v>
      </c>
      <c r="DT24" s="47"/>
      <c r="DU24" s="43">
        <f t="shared" si="26"/>
        <v>0.14254385290148419</v>
      </c>
      <c r="DV24" s="83">
        <f t="shared" ca="1" si="27"/>
        <v>1.2421</v>
      </c>
      <c r="DW24" s="83">
        <f t="shared" ca="1" si="28"/>
        <v>0.43609999999999993</v>
      </c>
      <c r="DX24" s="83">
        <f t="shared" ca="1" si="29"/>
        <v>0.80600000000000005</v>
      </c>
      <c r="DY24" s="67"/>
      <c r="DZ24" s="67"/>
      <c r="EA24" s="85"/>
      <c r="EB24" s="44">
        <v>9321700</v>
      </c>
      <c r="EC24" s="44" cm="1">
        <f t="array" aca="1" ref="EC24" ca="1">_FV(EE24,"Volume")</f>
        <v>10100800</v>
      </c>
      <c r="EE24" s="2" t="e" vm="24">
        <v>#VALUE!</v>
      </c>
      <c r="EG24" s="10" cm="1">
        <f t="array" aca="1" ref="EG24" ca="1">_FV(EE24,"Ações em circulação",TRUE)</f>
        <v>2861782000</v>
      </c>
      <c r="EH24" s="21">
        <f>VLOOKUP(BH24,Fundamentus!A:U,5,FALSE)</f>
        <v>0.73199999999999998</v>
      </c>
      <c r="EI24" s="2">
        <f t="shared" ca="1" si="30"/>
        <v>41323819316.939888</v>
      </c>
      <c r="EJ24" s="20">
        <v>7067663250.8196716</v>
      </c>
      <c r="EK24" s="20">
        <f t="shared" ca="1" si="31"/>
        <v>7128358832.1721306</v>
      </c>
      <c r="EM24" s="40" t="str">
        <f>IF(VLOOKUP(BH24,Fundamentus!A:U,3,FALSE)&lt;15,"Bom",IF(VLOOKUP(BH24,Fundamentus!A:U,3,FALSE)&gt;15,"Ruim","n/a"))</f>
        <v>Bom</v>
      </c>
      <c r="EN24" s="36" t="str">
        <f>IF(VLOOKUP(BH24,Fundamentus!A:U,4,FALSE)&lt;1,"Baixo",IF(VLOOKUP(BH24,Fundamentus!A:U,4,FALSE)&lt;1.5,"Moderado",IF(VLOOKUP(BH24,Fundamentus!A:U,4,FALSE)&gt;1.5,"Alto","n/a")))</f>
        <v>Moderado</v>
      </c>
      <c r="EO24" s="20" t="str">
        <f>IF(VLOOKUP(BH24,Fundamentus!A:U,8,FALSE)&lt;0,"Risco elevado",IF(VLOOKUP(BH24,Fundamentus!A:U,8,FALSE)&lt;1,"Saudável",IF(VLOOKUP(BH24,Fundamentus!A:U,8,FALSE)&lt;3,"Estável",IF(VLOOKUP(BH24,Fundamentus!A:U,8,FALSE)&gt;3,"Alerta","n/a"))))</f>
        <v>Alerta</v>
      </c>
      <c r="EP24" s="36" t="str">
        <f t="shared" si="32"/>
        <v>Ruim</v>
      </c>
      <c r="EQ24" s="20" t="str">
        <f>IF(VLOOKUP(BH24,Fundamentus!A:U,12,FALSE)&lt;2,"Subvalorizada",IF(VLOOKUP(BH24,Fundamentus!A:U,12,FALSE)&lt;6,"Muita barata",IF(VLOOKUP(BH24,Fundamentus!A:U,12,FALSE)&lt;6,"Barata",IF(VLOOKUP(BH24,Fundamentus!A:U,12,FALSE)&lt;8,"Atrativa",IF(VLOOKUP(BH24,Fundamentus!A:U,12,FALSE)&gt;8,"Supervalorizada","n/a")))))</f>
        <v>Muita barata</v>
      </c>
      <c r="ES24" s="20" t="str">
        <f>IF(VLOOKUP(BH24,Fundamentus!A:U,17,FALSE)&lt;0.1,"Fraco retorno",IF(VLOOKUP(BH24,Fundamentus!A:U,17,FALSE)&gt;0.1,"Bom retorno","n/a"))</f>
        <v>Bom retorno</v>
      </c>
      <c r="ET24" s="20" t="str">
        <f>IF(VLOOKUP(BH24,Fundamentus!A:U,16,FALSE)&lt;0.1,"Ineficiente",IF(VLOOKUP(BH24,Fundamentus!A:U,16,FALSE)&gt;0.1,"Eficiente","n/a"))</f>
        <v>Eficiente</v>
      </c>
      <c r="EU24" s="41" t="str">
        <f>IF(VLOOKUP(BH24,Fundamentus!A:U,16,FALSE)&lt;0.1,"Oper. Ineficiente",IF(VLOOKUP(BH24,Fundamentus!A:U,16,FALSE)&gt;0.1,"Oper.Eficiente","n/a"))</f>
        <v>Oper.Eficiente</v>
      </c>
      <c r="EV24" s="42">
        <f>VLOOKUP(BH24,Fundamentus!A:U,14,FALSE)</f>
        <v>0.17249999999999999</v>
      </c>
      <c r="EW24" s="20" t="str">
        <f>IF(VLOOKUP(BH24,Fundamentus!A:U,21,FALSE)&lt;0,"Negativo",IF(VLOOKUP(BH24,Fundamentus!A:U,21,FALSE)&lt;0.05,"Fraco",IF(VLOOKUP(BH24,Fundamentus!A:U,21,FALSE)&lt;0.1,"Bom",IF(VLOOKUP(BH24,Fundamentus!A:U,21,FALSE)&gt;0.1,"Muito bom","n/a"))))</f>
        <v>Bom</v>
      </c>
      <c r="EY24" s="37" t="str">
        <f>IF(VLOOKUP(BH24,Fundamentus!A:U,15,FALSE)&gt;1,"Bom",IF(VLOOKUP(BH24,Fundamentus!A:U,15,FALSE)&lt;1,"Ruim","n/a"))</f>
        <v>Bom</v>
      </c>
      <c r="EZ24" s="20" t="str">
        <f>IF(VLOOKUP(BH24,Fundamentus!A:U,20,FALSE)&lt;0.5,"Baixa",IF(VLOOKUP(BH24,Fundamentus!A:U,20,FALSE)&lt;1,"Moderada",IF(VLOOKUP(BH24,Fundamentus!A:U,20,FALSE)&lt;2,"Alerta",IF(VLOOKUP(BH24,Fundamentus!A:U,20,FALSE)&gt;2,"Alta","n/a"))))</f>
        <v>Moderada</v>
      </c>
    </row>
    <row r="25" spans="1:157" s="2" customFormat="1" ht="11.25" hidden="1" x14ac:dyDescent="0.2">
      <c r="A25" s="4">
        <v>9.6</v>
      </c>
      <c r="B25" s="4">
        <v>9.56</v>
      </c>
      <c r="C25" s="4">
        <v>9.5</v>
      </c>
      <c r="D25" s="4">
        <v>9.6999999999999993</v>
      </c>
      <c r="E25" s="4">
        <v>9.75</v>
      </c>
      <c r="F25" s="4">
        <v>9.49</v>
      </c>
      <c r="G25" s="4">
        <v>9.3800000000000008</v>
      </c>
      <c r="H25" s="4">
        <v>9.59</v>
      </c>
      <c r="I25" s="4">
        <v>9.74</v>
      </c>
      <c r="J25" s="4">
        <v>9.65</v>
      </c>
      <c r="K25" s="4">
        <v>9.8000000000000007</v>
      </c>
      <c r="L25" s="4">
        <v>9.7200000000000006</v>
      </c>
      <c r="M25" s="4">
        <v>9.77</v>
      </c>
      <c r="N25" s="4">
        <v>9.6199999999999992</v>
      </c>
      <c r="O25" s="4">
        <v>9.35</v>
      </c>
      <c r="P25" s="4">
        <v>9.41</v>
      </c>
      <c r="Q25" s="4">
        <v>9.6999999999999993</v>
      </c>
      <c r="R25" s="4">
        <v>9.86</v>
      </c>
      <c r="S25" s="4">
        <v>9.6199999999999992</v>
      </c>
      <c r="T25" s="4">
        <v>9.6</v>
      </c>
      <c r="U25" s="4">
        <v>9.5399999999999991</v>
      </c>
      <c r="V25" s="4">
        <v>9.35</v>
      </c>
      <c r="W25" s="4">
        <v>9.2200000000000006</v>
      </c>
      <c r="X25" s="4">
        <v>9.1999999999999993</v>
      </c>
      <c r="Y25" s="4">
        <v>9.02</v>
      </c>
      <c r="Z25" s="4">
        <v>8.9</v>
      </c>
      <c r="AA25" s="4">
        <v>8.9499999999999993</v>
      </c>
      <c r="AB25" s="4">
        <v>8.76</v>
      </c>
      <c r="AC25" s="4">
        <v>8.58</v>
      </c>
      <c r="AD25" s="4">
        <v>8.61</v>
      </c>
      <c r="AE25" s="4">
        <v>8.65</v>
      </c>
      <c r="AF25" s="4">
        <v>8.61</v>
      </c>
      <c r="AG25" s="4">
        <v>8.42</v>
      </c>
      <c r="AH25" s="4">
        <v>8.4499999999999993</v>
      </c>
      <c r="AI25" s="4">
        <v>8.6999999999999993</v>
      </c>
      <c r="AJ25" s="4">
        <v>8.65</v>
      </c>
      <c r="AK25" s="4">
        <v>8.43</v>
      </c>
      <c r="AL25" s="4">
        <v>8.4</v>
      </c>
      <c r="AM25" s="4">
        <v>8.4700000000000006</v>
      </c>
      <c r="AN25" s="4">
        <v>8.51</v>
      </c>
      <c r="AO25" s="4">
        <v>8.5299999999999994</v>
      </c>
      <c r="AP25" s="4">
        <v>8.44</v>
      </c>
      <c r="AQ25" s="4">
        <v>8.42</v>
      </c>
      <c r="AR25" s="4">
        <v>8.39</v>
      </c>
      <c r="AS25" s="4">
        <v>8.42</v>
      </c>
      <c r="AT25" s="4">
        <v>8.33</v>
      </c>
      <c r="AU25" s="4">
        <v>8.4550000000000001</v>
      </c>
      <c r="AV25" s="4">
        <v>8.9</v>
      </c>
      <c r="AW25" s="4">
        <v>8.75</v>
      </c>
      <c r="AX25" s="4">
        <v>8.5500000000000007</v>
      </c>
      <c r="AY25" s="12">
        <v>8.69</v>
      </c>
      <c r="AZ25" s="12">
        <v>8.75</v>
      </c>
      <c r="BA25" s="12">
        <v>8.9700000000000006</v>
      </c>
      <c r="BB25" s="18">
        <v>8.85</v>
      </c>
      <c r="BC25" s="63">
        <v>8.73</v>
      </c>
      <c r="BD25" s="63">
        <v>8.7899999999999991</v>
      </c>
      <c r="BE25" s="63">
        <v>8.73</v>
      </c>
      <c r="BF25" s="63">
        <v>8.68</v>
      </c>
      <c r="BG25" s="91" cm="1">
        <f t="array" aca="1" ref="BG25" ca="1">_FV(EE25,"Preço")</f>
        <v>8.65</v>
      </c>
      <c r="BH25" s="93" t="s">
        <v>23</v>
      </c>
      <c r="BI25" s="32" cm="1">
        <f t="array" aca="1" ref="BI25" ca="1">_FV(EE25,"Beta")</f>
        <v>0.42030000000000001</v>
      </c>
      <c r="BJ25" s="96" cm="1">
        <f t="array" aca="1" ref="BJ25" ca="1">_FV(EE25,"Variação (%)",TRUE)</f>
        <v>-1.155E-3</v>
      </c>
      <c r="BK25" s="49"/>
      <c r="BL25" s="49"/>
      <c r="BN25" s="32"/>
      <c r="BO25" s="20" cm="1">
        <f t="array" aca="1" ref="BO25" ca="1">_FV(EE25,"Baixo")</f>
        <v>8.61</v>
      </c>
      <c r="BP25" s="20" cm="1">
        <f t="array" aca="1" ref="BP25" ca="1">_FV(EE25,"Alto")</f>
        <v>8.67</v>
      </c>
      <c r="BQ25" s="32"/>
      <c r="BR25" s="74">
        <f ca="1">SQRT(22.5*(BG25/VLOOKUP(BH25,Fundamentus!A:U,3,FALSE))*(BG25/VLOOKUP(BH25,Fundamentus!A:U,4,FALSE)))</f>
        <v>13.758265532819335</v>
      </c>
      <c r="BT25" s="73">
        <f t="shared" ca="1" si="0"/>
        <v>-3.4562211981566085E-3</v>
      </c>
      <c r="BU25" s="36">
        <f t="shared" si="1"/>
        <v>-9.0624999999999928E-2</v>
      </c>
      <c r="BV25" s="8"/>
      <c r="BW25" s="72">
        <f t="shared" si="2"/>
        <v>8.33</v>
      </c>
      <c r="BX25" s="72">
        <f t="shared" si="3"/>
        <v>9.0207758620689642</v>
      </c>
      <c r="BY25" s="72">
        <f t="shared" si="4"/>
        <v>9.86</v>
      </c>
      <c r="BZ25" s="17"/>
      <c r="CA25" s="17"/>
      <c r="CB25" s="43">
        <f t="shared" si="5"/>
        <v>8.6058159142217239</v>
      </c>
      <c r="CC25" s="18">
        <f t="shared" si="6"/>
        <v>8.6837582005623233</v>
      </c>
      <c r="CD25" s="43">
        <f t="shared" si="7"/>
        <v>8.7617004869029227</v>
      </c>
      <c r="CE25" s="98">
        <f t="shared" ca="1" si="8"/>
        <v>-0.43311791515587855</v>
      </c>
      <c r="CF25" s="17"/>
      <c r="CG25" s="20">
        <f t="shared" si="9"/>
        <v>6.5233333333333317</v>
      </c>
      <c r="CH25" s="20">
        <f t="shared" si="10"/>
        <v>7.4266666666666659</v>
      </c>
      <c r="CI25" s="20">
        <f t="shared" si="11"/>
        <v>8.053333333333331</v>
      </c>
      <c r="CJ25" s="49">
        <f t="shared" si="12"/>
        <v>8.9566666666666652</v>
      </c>
      <c r="CK25" s="20">
        <f t="shared" si="13"/>
        <v>9.5833333333333304</v>
      </c>
      <c r="CL25" s="20">
        <f t="shared" si="14"/>
        <v>10.486666666666665</v>
      </c>
      <c r="CM25" s="20">
        <f t="shared" si="15"/>
        <v>11.11333333333333</v>
      </c>
      <c r="CN25" s="2" cm="1">
        <f t="array" aca="1" ref="CN25" ca="1">MAX(_xlfn._xlws.FILTER(CG25:CM25,CG25:CM25&lt;BG25))</f>
        <v>8.053333333333331</v>
      </c>
      <c r="CO25" s="2" cm="1">
        <f t="array" aca="1" ref="CO25" ca="1">MIN(_xlfn._xlws.FILTER($CG25:$CM25,$CG25:$CM25&gt;BG25))</f>
        <v>8.9566666666666652</v>
      </c>
      <c r="CP25" s="19">
        <f t="shared" ca="1" si="65"/>
        <v>0.11216887417218557</v>
      </c>
      <c r="CQ25" s="23">
        <f t="shared" ca="1" si="66"/>
        <v>-5.6084437086092787E-2</v>
      </c>
      <c r="CR25" s="23">
        <f t="shared" ca="1" si="67"/>
        <v>-3.7389624724061855E-2</v>
      </c>
      <c r="CS25" s="23">
        <f t="shared" ca="1" si="68"/>
        <v>-2.2433774834437113E-2</v>
      </c>
      <c r="CT25" s="23">
        <f t="shared" ca="1" si="69"/>
        <v>-1.2463208241353952E-2</v>
      </c>
      <c r="CU25" s="23">
        <f t="shared" ca="1" si="70"/>
        <v>-6.5981690689520924E-3</v>
      </c>
      <c r="CV25" s="23">
        <f t="shared" ca="1" si="71"/>
        <v>-3.3990567930965326E-3</v>
      </c>
      <c r="CW25" s="23">
        <f t="shared" ca="1" si="72"/>
        <v>-1.7256749872643935E-3</v>
      </c>
      <c r="CX25" s="24">
        <f t="shared" ca="1" si="73"/>
        <v>1.7256749872643935E-3</v>
      </c>
      <c r="CY25" s="24">
        <f t="shared" ca="1" si="74"/>
        <v>3.3990567930965326E-3</v>
      </c>
      <c r="CZ25" s="24">
        <f t="shared" ca="1" si="75"/>
        <v>6.5981690689520924E-3</v>
      </c>
      <c r="DA25" s="24">
        <f t="shared" ca="1" si="76"/>
        <v>1.2463208241353952E-2</v>
      </c>
      <c r="DB25" s="24">
        <f t="shared" ca="1" si="77"/>
        <v>2.2433774834437113E-2</v>
      </c>
      <c r="DC25" s="24">
        <f t="shared" ca="1" si="78"/>
        <v>3.7389624724061855E-2</v>
      </c>
      <c r="DD25" s="24">
        <f t="shared" ca="1" si="79"/>
        <v>5.6084437086092787E-2</v>
      </c>
      <c r="DF25" s="19" cm="1">
        <f t="array" aca="1" ref="DF25" ca="1">MAX(_xlfn._xlws.FILTER(CQ25:DD25,CQ25:DD25&lt;BJ25))</f>
        <v>-1.7256749872643935E-3</v>
      </c>
      <c r="DG25" s="19" cm="1">
        <f t="array" aca="1" ref="DG25" ca="1">MIN(_xlfn._xlws.FILTER(CQ25:DD25,CQ25:DD25&gt;BJ25))</f>
        <v>1.7256749872643935E-3</v>
      </c>
      <c r="DH25" s="2" cm="1">
        <f t="array" aca="1" ref="DH25" ca="1">_FV(EE25,"Fechamento anterior",TRUE)</f>
        <v>8.66</v>
      </c>
      <c r="DI25" s="36">
        <f t="shared" ca="1" si="22"/>
        <v>0.16542529166631736</v>
      </c>
      <c r="DJ25" s="18">
        <f t="shared" ca="1" si="80"/>
        <v>8.6450556546102906</v>
      </c>
      <c r="DK25" s="18">
        <f t="shared" ca="1" si="81"/>
        <v>8.6749443453897097</v>
      </c>
      <c r="DL25" s="9"/>
      <c r="DM25" s="9"/>
      <c r="DN25" s="9"/>
      <c r="DO25" s="9"/>
      <c r="DP25" s="79">
        <v>1.9635266694090206E-3</v>
      </c>
      <c r="DQ25" s="79">
        <v>3.5997988939165376E-3</v>
      </c>
      <c r="DR25" s="79">
        <v>3.5997988939165376E-3</v>
      </c>
      <c r="DS25" s="79">
        <f t="shared" ca="1" si="25"/>
        <v>3.4513499745287869E-3</v>
      </c>
      <c r="DT25" s="47"/>
      <c r="DU25" s="43">
        <f t="shared" si="26"/>
        <v>3.897114317029951E-2</v>
      </c>
      <c r="DV25" s="83">
        <f t="shared" ca="1" si="27"/>
        <v>0.84640000000000004</v>
      </c>
      <c r="DW25" s="83">
        <f t="shared" ca="1" si="28"/>
        <v>0.53580000000000005</v>
      </c>
      <c r="DX25" s="83">
        <f t="shared" ca="1" si="29"/>
        <v>0.31059999999999999</v>
      </c>
      <c r="DY25" s="67"/>
      <c r="DZ25" s="67"/>
      <c r="EA25" s="85"/>
      <c r="EB25" s="44">
        <v>1800</v>
      </c>
      <c r="EC25" s="44" cm="1">
        <f t="array" aca="1" ref="EC25" ca="1">_FV(EE25,"Volume")</f>
        <v>1200</v>
      </c>
      <c r="EE25" s="2" t="e" vm="25">
        <v>#VALUE!</v>
      </c>
      <c r="EG25" s="10" cm="1">
        <f t="array" aca="1" ref="EG25" ca="1">_FV(EE25,"Ações em circulação",TRUE)</f>
        <v>315912900</v>
      </c>
      <c r="EH25" s="21">
        <f>VLOOKUP(BH25,Fundamentus!A:U,5,FALSE)</f>
        <v>0</v>
      </c>
      <c r="EI25" s="2" t="e">
        <f t="shared" ca="1" si="30"/>
        <v>#DIV/0!</v>
      </c>
      <c r="EJ25" s="20" t="e">
        <v>#DIV/0!</v>
      </c>
      <c r="EK25" s="20" t="e">
        <f t="shared" ca="1" si="31"/>
        <v>#DIV/0!</v>
      </c>
      <c r="EM25" s="40" t="str">
        <f>IF(VLOOKUP(BH25,Fundamentus!A:U,3,FALSE)&lt;15,"Bom",IF(VLOOKUP(BH25,Fundamentus!A:U,3,FALSE)&gt;15,"Ruim","n/a"))</f>
        <v>Bom</v>
      </c>
      <c r="EN25" s="36" t="str">
        <f>IF(VLOOKUP(BH25,Fundamentus!A:U,4,FALSE)&lt;1,"Baixo",IF(VLOOKUP(BH25,Fundamentus!A:U,4,FALSE)&lt;1.5,"Moderado",IF(VLOOKUP(BH25,Fundamentus!A:U,4,FALSE)&gt;1.5,"Alto","n/a")))</f>
        <v>Moderado</v>
      </c>
      <c r="EO25" s="20" t="str">
        <f>IF(VLOOKUP(BH25,Fundamentus!A:U,8,FALSE)&lt;0,"Risco elevado",IF(VLOOKUP(BH25,Fundamentus!A:U,8,FALSE)&lt;1,"Saudável",IF(VLOOKUP(BH25,Fundamentus!A:U,8,FALSE)&lt;3,"Estável",IF(VLOOKUP(BH25,Fundamentus!A:U,8,FALSE)&gt;3,"Alerta","n/a"))))</f>
        <v>Saudável</v>
      </c>
      <c r="EP25" s="36" t="str">
        <f t="shared" si="32"/>
        <v>Ruim</v>
      </c>
      <c r="EQ25" s="20" t="str">
        <f>IF(VLOOKUP(BH25,Fundamentus!A:U,12,FALSE)&lt;2,"Subvalorizada",IF(VLOOKUP(BH25,Fundamentus!A:U,12,FALSE)&lt;6,"Muita barata",IF(VLOOKUP(BH25,Fundamentus!A:U,12,FALSE)&lt;6,"Barata",IF(VLOOKUP(BH25,Fundamentus!A:U,12,FALSE)&lt;8,"Atrativa",IF(VLOOKUP(BH25,Fundamentus!A:U,12,FALSE)&gt;8,"Supervalorizada","n/a")))))</f>
        <v>Subvalorizada</v>
      </c>
      <c r="ES25" s="20" t="str">
        <f>IF(VLOOKUP(BH25,Fundamentus!A:U,17,FALSE)&lt;0.1,"Fraco retorno",IF(VLOOKUP(BH25,Fundamentus!A:U,17,FALSE)&gt;0.1,"Bom retorno","n/a"))</f>
        <v>Bom retorno</v>
      </c>
      <c r="ET25" s="20" t="str">
        <f>IF(VLOOKUP(BH25,Fundamentus!A:U,16,FALSE)&lt;0.1,"Ineficiente",IF(VLOOKUP(BH25,Fundamentus!A:U,16,FALSE)&gt;0.1,"Eficiente","n/a"))</f>
        <v>Ineficiente</v>
      </c>
      <c r="EU25" s="41" t="str">
        <f>IF(VLOOKUP(BH25,Fundamentus!A:U,16,FALSE)&lt;0.1,"Oper. Ineficiente",IF(VLOOKUP(BH25,Fundamentus!A:U,16,FALSE)&gt;0.1,"Oper.Eficiente","n/a"))</f>
        <v>Oper. Ineficiente</v>
      </c>
      <c r="EV25" s="42">
        <f>VLOOKUP(BH25,Fundamentus!A:U,14,FALSE)</f>
        <v>0</v>
      </c>
      <c r="EW25" s="20" t="str">
        <f>IF(VLOOKUP(BH25,Fundamentus!A:U,21,FALSE)&lt;0,"Negativo",IF(VLOOKUP(BH25,Fundamentus!A:U,21,FALSE)&lt;0.05,"Fraco",IF(VLOOKUP(BH25,Fundamentus!A:U,21,FALSE)&lt;0.1,"Bom",IF(VLOOKUP(BH25,Fundamentus!A:U,21,FALSE)&gt;0.1,"Muito bom","n/a"))))</f>
        <v>Muito bom</v>
      </c>
      <c r="EY25" s="37" t="str">
        <f>IF(VLOOKUP(BH25,Fundamentus!A:U,15,FALSE)&gt;1,"Bom",IF(VLOOKUP(BH25,Fundamentus!A:U,15,FALSE)&lt;1,"Ruim","n/a"))</f>
        <v>Ruim</v>
      </c>
      <c r="EZ25" s="20" t="str">
        <f>IF(VLOOKUP(BH25,Fundamentus!A:U,20,FALSE)&lt;0.5,"Baixa",IF(VLOOKUP(BH25,Fundamentus!A:U,20,FALSE)&lt;1,"Moderada",IF(VLOOKUP(BH25,Fundamentus!A:U,20,FALSE)&lt;2,"Alerta",IF(VLOOKUP(BH25,Fundamentus!A:U,20,FALSE)&gt;2,"Alta","n/a"))))</f>
        <v>Baixa</v>
      </c>
    </row>
    <row r="26" spans="1:157" s="5" customFormat="1" ht="11.25" hidden="1" x14ac:dyDescent="0.2">
      <c r="A26" s="4">
        <v>5.4</v>
      </c>
      <c r="B26" s="4">
        <v>5.2</v>
      </c>
      <c r="C26" s="4">
        <v>5.43</v>
      </c>
      <c r="D26" s="4">
        <v>5.38</v>
      </c>
      <c r="E26" s="4">
        <v>5.09</v>
      </c>
      <c r="F26" s="4">
        <v>4.84</v>
      </c>
      <c r="G26" s="4">
        <v>4.75</v>
      </c>
      <c r="H26" s="4">
        <v>4.8899999999999997</v>
      </c>
      <c r="I26" s="4">
        <v>4.9400000000000004</v>
      </c>
      <c r="J26" s="4">
        <v>5.05</v>
      </c>
      <c r="K26" s="4">
        <v>5.17</v>
      </c>
      <c r="L26" s="4">
        <v>5.12</v>
      </c>
      <c r="M26" s="4">
        <v>4.96</v>
      </c>
      <c r="N26" s="4">
        <v>5.3</v>
      </c>
      <c r="O26" s="4">
        <v>5.5</v>
      </c>
      <c r="P26" s="4">
        <v>5.3</v>
      </c>
      <c r="Q26" s="4">
        <v>5.38</v>
      </c>
      <c r="R26" s="4">
        <v>5.77</v>
      </c>
      <c r="S26" s="4">
        <v>6.04</v>
      </c>
      <c r="T26" s="4">
        <v>6.13</v>
      </c>
      <c r="U26" s="4">
        <v>5.94</v>
      </c>
      <c r="V26" s="4">
        <v>6.21</v>
      </c>
      <c r="W26" s="4">
        <v>6.15</v>
      </c>
      <c r="X26" s="4">
        <v>6.1</v>
      </c>
      <c r="Y26" s="4">
        <v>6.56</v>
      </c>
      <c r="Z26" s="4">
        <v>6.59</v>
      </c>
      <c r="AA26" s="4">
        <v>6.38</v>
      </c>
      <c r="AB26" s="4">
        <v>6.67</v>
      </c>
      <c r="AC26" s="4">
        <v>7.06</v>
      </c>
      <c r="AD26" s="4">
        <v>7.28</v>
      </c>
      <c r="AE26" s="4">
        <v>6.38</v>
      </c>
      <c r="AF26" s="4">
        <v>6.28</v>
      </c>
      <c r="AG26" s="4">
        <v>6.24</v>
      </c>
      <c r="AH26" s="4">
        <v>5.4</v>
      </c>
      <c r="AI26" s="4">
        <v>5.62</v>
      </c>
      <c r="AJ26" s="4">
        <v>5.67</v>
      </c>
      <c r="AK26" s="4">
        <v>5.55</v>
      </c>
      <c r="AL26" s="4">
        <v>5.96</v>
      </c>
      <c r="AM26" s="4">
        <v>6.29</v>
      </c>
      <c r="AN26" s="4">
        <v>6.38</v>
      </c>
      <c r="AO26" s="4">
        <v>6.07</v>
      </c>
      <c r="AP26" s="4">
        <v>6.4</v>
      </c>
      <c r="AQ26" s="4">
        <v>6.12</v>
      </c>
      <c r="AR26" s="4">
        <v>5.75</v>
      </c>
      <c r="AS26" s="4">
        <v>5.7</v>
      </c>
      <c r="AT26" s="4">
        <v>5.67</v>
      </c>
      <c r="AU26" s="4">
        <v>5.5500000000000007</v>
      </c>
      <c r="AV26" s="4">
        <v>5.22</v>
      </c>
      <c r="AW26" s="4">
        <v>4.74</v>
      </c>
      <c r="AX26" s="4">
        <v>4.68</v>
      </c>
      <c r="AY26" s="12">
        <v>5.09</v>
      </c>
      <c r="AZ26" s="12">
        <v>5.29</v>
      </c>
      <c r="BA26" s="12">
        <v>5.46</v>
      </c>
      <c r="BB26" s="18">
        <v>5.34</v>
      </c>
      <c r="BC26" s="63">
        <v>5.68</v>
      </c>
      <c r="BD26" s="63">
        <v>5.56</v>
      </c>
      <c r="BE26" s="63">
        <v>5.84</v>
      </c>
      <c r="BF26" s="63">
        <v>6.03</v>
      </c>
      <c r="BG26" s="91" cm="1">
        <f t="array" aca="1" ref="BG26" ca="1">_FV(EE26,"Preço")</f>
        <v>6.2</v>
      </c>
      <c r="BH26" s="93" t="s">
        <v>24</v>
      </c>
      <c r="BI26" s="32" cm="1">
        <f t="array" aca="1" ref="BI26" ca="1">_FV(EE26,"Beta")</f>
        <v>0.7883</v>
      </c>
      <c r="BJ26" s="96" cm="1">
        <f t="array" aca="1" ref="BJ26" ca="1">_FV(EE26,"Variação (%)",TRUE)</f>
        <v>1.616E-3</v>
      </c>
      <c r="BK26" s="49"/>
      <c r="BL26" s="49"/>
      <c r="BN26" s="32"/>
      <c r="BO26" s="20" cm="1">
        <f t="array" aca="1" ref="BO26" ca="1">_FV(EE26,"Baixo")</f>
        <v>6.06</v>
      </c>
      <c r="BP26" s="20" cm="1">
        <f t="array" aca="1" ref="BP26" ca="1">_FV(EE26,"Alto")</f>
        <v>6.28</v>
      </c>
      <c r="BQ26" s="32"/>
      <c r="BR26" s="74">
        <f ca="1">SQRT(22.5*(BG26/VLOOKUP(BH26,Fundamentus!A:U,3,FALSE))*(BG26/VLOOKUP(BH26,Fundamentus!A:U,4,FALSE)))</f>
        <v>9.3491184096466551</v>
      </c>
      <c r="BT26" s="73">
        <f t="shared" ca="1" si="0"/>
        <v>2.8192371475953552E-2</v>
      </c>
      <c r="BU26" s="36">
        <f t="shared" si="1"/>
        <v>8.1481481481481391E-2</v>
      </c>
      <c r="BV26" s="8"/>
      <c r="BW26" s="72">
        <f t="shared" si="2"/>
        <v>4.68</v>
      </c>
      <c r="BX26" s="72">
        <f t="shared" si="3"/>
        <v>5.6989655172413789</v>
      </c>
      <c r="BY26" s="72">
        <f t="shared" si="4"/>
        <v>7.28</v>
      </c>
      <c r="BZ26" s="17"/>
      <c r="CA26" s="17"/>
      <c r="CB26" s="43">
        <f t="shared" si="5"/>
        <v>5.740929309173576</v>
      </c>
      <c r="CC26" s="18">
        <f t="shared" si="6"/>
        <v>6.0937394564199394</v>
      </c>
      <c r="CD26" s="43">
        <f t="shared" si="7"/>
        <v>6.4465496036663028</v>
      </c>
      <c r="CE26" s="98">
        <f t="shared" ca="1" si="8"/>
        <v>0.30118335430375309</v>
      </c>
      <c r="CF26" s="17"/>
      <c r="CG26" s="20">
        <f t="shared" si="9"/>
        <v>2.1133333333333333</v>
      </c>
      <c r="CH26" s="20">
        <f t="shared" si="10"/>
        <v>3.3966666666666665</v>
      </c>
      <c r="CI26" s="20">
        <f t="shared" si="11"/>
        <v>4.7133333333333338</v>
      </c>
      <c r="CJ26" s="49">
        <f t="shared" si="12"/>
        <v>5.996666666666667</v>
      </c>
      <c r="CK26" s="20">
        <f t="shared" si="13"/>
        <v>7.3133333333333344</v>
      </c>
      <c r="CL26" s="20">
        <f t="shared" si="14"/>
        <v>8.5966666666666676</v>
      </c>
      <c r="CM26" s="20">
        <f t="shared" si="15"/>
        <v>9.913333333333334</v>
      </c>
      <c r="CN26" s="2" cm="1">
        <f t="array" aca="1" ref="CN26" ca="1">MAX(_xlfn._xlws.FILTER(CG26:CM26,CG26:CM26&lt;BG26))</f>
        <v>5.996666666666667</v>
      </c>
      <c r="CO26" s="2" cm="1">
        <f t="array" aca="1" ref="CO26" ca="1">MIN(_xlfn._xlws.FILTER($CG26:$CM26,$CG26:$CM26&gt;BG26))</f>
        <v>7.3133333333333344</v>
      </c>
      <c r="CP26" s="19">
        <f t="shared" ca="1" si="65"/>
        <v>0.21956642579210683</v>
      </c>
      <c r="CQ26" s="23">
        <f t="shared" ca="1" si="66"/>
        <v>-0.10978321289605342</v>
      </c>
      <c r="CR26" s="23">
        <f t="shared" ca="1" si="67"/>
        <v>-7.318880859736894E-2</v>
      </c>
      <c r="CS26" s="23">
        <f t="shared" ca="1" si="68"/>
        <v>-4.391328515842137E-2</v>
      </c>
      <c r="CT26" s="23">
        <f t="shared" ca="1" si="69"/>
        <v>-2.4396269532456313E-2</v>
      </c>
      <c r="CU26" s="23">
        <f t="shared" ca="1" si="70"/>
        <v>-1.2915672105418049E-2</v>
      </c>
      <c r="CV26" s="23">
        <f t="shared" ca="1" si="71"/>
        <v>-6.6535280543062675E-3</v>
      </c>
      <c r="CW26" s="23">
        <f t="shared" ca="1" si="72"/>
        <v>-3.3779450121862592E-3</v>
      </c>
      <c r="CX26" s="24">
        <f t="shared" ca="1" si="73"/>
        <v>3.3779450121862592E-3</v>
      </c>
      <c r="CY26" s="24">
        <f t="shared" ca="1" si="74"/>
        <v>6.6535280543062675E-3</v>
      </c>
      <c r="CZ26" s="24">
        <f t="shared" ca="1" si="75"/>
        <v>1.2915672105418049E-2</v>
      </c>
      <c r="DA26" s="24">
        <f t="shared" ca="1" si="76"/>
        <v>2.4396269532456313E-2</v>
      </c>
      <c r="DB26" s="24">
        <f t="shared" ca="1" si="77"/>
        <v>4.391328515842137E-2</v>
      </c>
      <c r="DC26" s="24">
        <f t="shared" ca="1" si="78"/>
        <v>7.318880859736894E-2</v>
      </c>
      <c r="DD26" s="24">
        <f t="shared" ca="1" si="79"/>
        <v>0.10978321289605342</v>
      </c>
      <c r="DF26" s="19" cm="1">
        <f t="array" aca="1" ref="DF26" ca="1">MAX(_xlfn._xlws.FILTER(CQ26:DD26,CQ26:DD26&lt;BJ26))</f>
        <v>-3.3779450121862592E-3</v>
      </c>
      <c r="DG26" s="19" cm="1">
        <f t="array" aca="1" ref="DG26" ca="1">MIN(_xlfn._xlws.FILTER(CQ26:DD26,CQ26:DD26&gt;BJ26))</f>
        <v>3.3779450121862592E-3</v>
      </c>
      <c r="DH26" s="2" cm="1">
        <f t="array" aca="1" ref="DH26" ca="1">_FV(EE26,"Fechamento anterior",TRUE)</f>
        <v>6.19</v>
      </c>
      <c r="DI26" s="36">
        <f t="shared" ca="1" si="22"/>
        <v>0.73912598924356543</v>
      </c>
      <c r="DJ26" s="18">
        <f t="shared" ca="1" si="80"/>
        <v>6.1690905203745672</v>
      </c>
      <c r="DK26" s="18">
        <f t="shared" ca="1" si="81"/>
        <v>6.2109094796254336</v>
      </c>
      <c r="DL26" s="9"/>
      <c r="DM26" s="9"/>
      <c r="DN26" s="9"/>
      <c r="DO26" s="9"/>
      <c r="DP26" s="79">
        <v>1.8186984938903111E-2</v>
      </c>
      <c r="DQ26" s="79">
        <v>5.4543811659561155E-3</v>
      </c>
      <c r="DR26" s="79">
        <v>1.6999487967229894E-2</v>
      </c>
      <c r="DS26" s="79">
        <f t="shared" ca="1" si="25"/>
        <v>6.7558900243725184E-3</v>
      </c>
      <c r="DT26" s="47"/>
      <c r="DU26" s="43">
        <f t="shared" si="26"/>
        <v>0.1764050736231815</v>
      </c>
      <c r="DV26" s="83">
        <f t="shared" ca="1" si="27"/>
        <v>1.2143999999999999</v>
      </c>
      <c r="DW26" s="83">
        <f t="shared" ca="1" si="28"/>
        <v>0.62670000000000003</v>
      </c>
      <c r="DX26" s="83">
        <f t="shared" ca="1" si="29"/>
        <v>0.58769999999999989</v>
      </c>
      <c r="DY26" s="67"/>
      <c r="DZ26" s="67"/>
      <c r="EA26" s="85"/>
      <c r="EB26" s="44">
        <v>465800</v>
      </c>
      <c r="EC26" s="44" cm="1">
        <f t="array" aca="1" ref="EC26" ca="1">_FV(EE26,"Volume")</f>
        <v>332200</v>
      </c>
      <c r="EE26" s="5" t="e" vm="26">
        <v>#VALUE!</v>
      </c>
      <c r="EG26" s="10" cm="1">
        <f t="array" aca="1" ref="EG26" ca="1">_FV(EE26,"Ações em circulação",TRUE)</f>
        <v>1136271000</v>
      </c>
      <c r="EH26" s="21">
        <f>VLOOKUP(BH26,Fundamentus!A:U,5,FALSE)</f>
        <v>0.77400000000000002</v>
      </c>
      <c r="EI26" s="2">
        <f t="shared" ca="1" si="30"/>
        <v>9101912403.1007748</v>
      </c>
      <c r="EJ26" s="20">
        <v>1180017433.5</v>
      </c>
      <c r="EK26" s="20">
        <f t="shared" ca="1" si="31"/>
        <v>1213284923.3333333</v>
      </c>
      <c r="EL26" s="2"/>
      <c r="EM26" s="40" t="str">
        <f>IF(VLOOKUP(BH26,Fundamentus!A:U,3,FALSE)&lt;15,"Bom",IF(VLOOKUP(BH26,Fundamentus!A:U,3,FALSE)&gt;15,"Ruim","n/a"))</f>
        <v>Bom</v>
      </c>
      <c r="EN26" s="36" t="str">
        <f>IF(VLOOKUP(BH26,Fundamentus!A:U,4,FALSE)&lt;1,"Baixo",IF(VLOOKUP(BH26,Fundamentus!A:U,4,FALSE)&lt;1.5,"Moderado",IF(VLOOKUP(BH26,Fundamentus!A:U,4,FALSE)&gt;1.5,"Alto","n/a")))</f>
        <v>Alto</v>
      </c>
      <c r="EO26" s="20" t="str">
        <f>IF(VLOOKUP(BH26,Fundamentus!A:U,8,FALSE)&lt;0,"Risco elevado",IF(VLOOKUP(BH26,Fundamentus!A:U,8,FALSE)&lt;1,"Saudável",IF(VLOOKUP(BH26,Fundamentus!A:U,8,FALSE)&lt;3,"Estável",IF(VLOOKUP(BH26,Fundamentus!A:U,8,FALSE)&gt;3,"Alerta","n/a"))))</f>
        <v>Alerta</v>
      </c>
      <c r="EP26" s="36" t="str">
        <f t="shared" si="32"/>
        <v>Ruim</v>
      </c>
      <c r="EQ26" s="20" t="str">
        <f>IF(VLOOKUP(BH26,Fundamentus!A:U,12,FALSE)&lt;2,"Subvalorizada",IF(VLOOKUP(BH26,Fundamentus!A:U,12,FALSE)&lt;6,"Muita barata",IF(VLOOKUP(BH26,Fundamentus!A:U,12,FALSE)&lt;6,"Barata",IF(VLOOKUP(BH26,Fundamentus!A:U,12,FALSE)&lt;8,"Atrativa",IF(VLOOKUP(BH26,Fundamentus!A:U,12,FALSE)&gt;8,"Supervalorizada","n/a")))))</f>
        <v>Muita barata</v>
      </c>
      <c r="ER26" s="2"/>
      <c r="ES26" s="20" t="str">
        <f>IF(VLOOKUP(BH26,Fundamentus!A:U,17,FALSE)&lt;0.1,"Fraco retorno",IF(VLOOKUP(BH26,Fundamentus!A:U,17,FALSE)&gt;0.1,"Bom retorno","n/a"))</f>
        <v>Bom retorno</v>
      </c>
      <c r="ET26" s="20" t="str">
        <f>IF(VLOOKUP(BH26,Fundamentus!A:U,16,FALSE)&lt;0.1,"Ineficiente",IF(VLOOKUP(BH26,Fundamentus!A:U,16,FALSE)&gt;0.1,"Eficiente","n/a"))</f>
        <v>Eficiente</v>
      </c>
      <c r="EU26" s="41" t="str">
        <f>IF(VLOOKUP(BH26,Fundamentus!A:U,16,FALSE)&lt;0.1,"Oper. Ineficiente",IF(VLOOKUP(BH26,Fundamentus!A:U,16,FALSE)&gt;0.1,"Oper.Eficiente","n/a"))</f>
        <v>Oper.Eficiente</v>
      </c>
      <c r="EV26" s="42">
        <f>VLOOKUP(BH26,Fundamentus!A:U,14,FALSE)</f>
        <v>0.1333</v>
      </c>
      <c r="EW26" s="20" t="str">
        <f>IF(VLOOKUP(BH26,Fundamentus!A:U,21,FALSE)&lt;0,"Negativo",IF(VLOOKUP(BH26,Fundamentus!A:U,21,FALSE)&lt;0.05,"Fraco",IF(VLOOKUP(BH26,Fundamentus!A:U,21,FALSE)&lt;0.1,"Bom",IF(VLOOKUP(BH26,Fundamentus!A:U,21,FALSE)&gt;0.1,"Muito bom","n/a"))))</f>
        <v>Muito bom</v>
      </c>
      <c r="EY26" s="37" t="str">
        <f>IF(VLOOKUP(BH26,Fundamentus!A:U,15,FALSE)&gt;1,"Bom",IF(VLOOKUP(BH26,Fundamentus!A:U,15,FALSE)&lt;1,"Ruim","n/a"))</f>
        <v>Bom</v>
      </c>
      <c r="EZ26" s="20" t="str">
        <f>IF(VLOOKUP(BH26,Fundamentus!A:U,20,FALSE)&lt;0.5,"Baixa",IF(VLOOKUP(BH26,Fundamentus!A:U,20,FALSE)&lt;1,"Moderada",IF(VLOOKUP(BH26,Fundamentus!A:U,20,FALSE)&lt;2,"Alerta",IF(VLOOKUP(BH26,Fundamentus!A:U,20,FALSE)&gt;2,"Alta","n/a"))))</f>
        <v>Moderada</v>
      </c>
    </row>
    <row r="27" spans="1:157" s="2" customFormat="1" ht="11.25" hidden="1" x14ac:dyDescent="0.2">
      <c r="A27" s="4">
        <v>12.3</v>
      </c>
      <c r="B27" s="4">
        <v>11.86</v>
      </c>
      <c r="C27" s="4">
        <v>13.07</v>
      </c>
      <c r="D27" s="4">
        <v>13.05</v>
      </c>
      <c r="E27" s="4">
        <v>13</v>
      </c>
      <c r="F27" s="4">
        <v>13</v>
      </c>
      <c r="G27" s="4">
        <v>13.28</v>
      </c>
      <c r="H27" s="4">
        <v>13.01</v>
      </c>
      <c r="I27" s="4">
        <v>13.6</v>
      </c>
      <c r="J27" s="4">
        <v>14.05</v>
      </c>
      <c r="K27" s="4">
        <v>14.76</v>
      </c>
      <c r="L27" s="4">
        <v>14.74</v>
      </c>
      <c r="M27" s="4">
        <v>14.37</v>
      </c>
      <c r="N27" s="4">
        <v>14.57</v>
      </c>
      <c r="O27" s="4">
        <v>15.65</v>
      </c>
      <c r="P27" s="4">
        <v>15.75</v>
      </c>
      <c r="Q27" s="4">
        <v>16.3</v>
      </c>
      <c r="R27" s="4">
        <v>15.94</v>
      </c>
      <c r="S27" s="4">
        <v>15.05</v>
      </c>
      <c r="T27" s="4">
        <v>14.97</v>
      </c>
      <c r="U27" s="4">
        <v>13.96</v>
      </c>
      <c r="V27" s="4">
        <v>13.73</v>
      </c>
      <c r="W27" s="4">
        <v>14.5</v>
      </c>
      <c r="X27" s="4">
        <v>14.31</v>
      </c>
      <c r="Y27" s="4">
        <v>14.7</v>
      </c>
      <c r="Z27" s="4">
        <v>15.19</v>
      </c>
      <c r="AA27" s="4">
        <v>14.67</v>
      </c>
      <c r="AB27" s="4">
        <v>14.57</v>
      </c>
      <c r="AC27" s="4">
        <v>14.25</v>
      </c>
      <c r="AD27" s="4">
        <v>14.31</v>
      </c>
      <c r="AE27" s="4">
        <v>14.5</v>
      </c>
      <c r="AF27" s="4">
        <v>15.1</v>
      </c>
      <c r="AG27" s="4">
        <v>14.62</v>
      </c>
      <c r="AH27" s="4">
        <v>13.5</v>
      </c>
      <c r="AI27" s="4">
        <v>13.2</v>
      </c>
      <c r="AJ27" s="4">
        <v>13.18</v>
      </c>
      <c r="AK27" s="4">
        <v>13.3</v>
      </c>
      <c r="AL27" s="4">
        <v>13.3</v>
      </c>
      <c r="AM27" s="4">
        <v>13.15</v>
      </c>
      <c r="AN27" s="4">
        <v>13.54</v>
      </c>
      <c r="AO27" s="4">
        <v>13.66</v>
      </c>
      <c r="AP27" s="4">
        <v>14.67</v>
      </c>
      <c r="AQ27" s="4">
        <v>14.36</v>
      </c>
      <c r="AR27" s="4">
        <v>14.5</v>
      </c>
      <c r="AS27" s="4">
        <v>14.45</v>
      </c>
      <c r="AT27" s="4">
        <v>15</v>
      </c>
      <c r="AU27" s="4">
        <v>16.829999999999998</v>
      </c>
      <c r="AV27" s="4">
        <v>17.13</v>
      </c>
      <c r="AW27" s="4">
        <v>17.39</v>
      </c>
      <c r="AX27" s="4">
        <v>16.86</v>
      </c>
      <c r="AY27" s="12">
        <v>17.3</v>
      </c>
      <c r="AZ27" s="12">
        <v>17.649999999999999</v>
      </c>
      <c r="BA27" s="12">
        <v>18.91</v>
      </c>
      <c r="BB27" s="18">
        <v>19.079999999999998</v>
      </c>
      <c r="BC27" s="63">
        <v>19.37</v>
      </c>
      <c r="BD27" s="63">
        <v>19.149999999999999</v>
      </c>
      <c r="BE27" s="63">
        <v>19.059999999999999</v>
      </c>
      <c r="BF27" s="63">
        <v>20.059999999999999</v>
      </c>
      <c r="BG27" s="91" cm="1">
        <f t="array" aca="1" ref="BG27" ca="1">_FV(EE27,"Preço")</f>
        <v>19.100000000000001</v>
      </c>
      <c r="BH27" s="93" t="s">
        <v>25</v>
      </c>
      <c r="BI27" s="32" cm="1">
        <f t="array" aca="1" ref="BI27" ca="1">_FV(EE27,"Beta")</f>
        <v>1.2388999999999999</v>
      </c>
      <c r="BJ27" s="96" cm="1">
        <f t="array" aca="1" ref="BJ27" ca="1">_FV(EE27,"Variação (%)",TRUE)</f>
        <v>-1.7995000000000001E-2</v>
      </c>
      <c r="BK27" s="49"/>
      <c r="BL27" s="49"/>
      <c r="BN27" s="32"/>
      <c r="BO27" s="20" cm="1">
        <f t="array" aca="1" ref="BO27" ca="1">_FV(EE27,"Baixo")</f>
        <v>19</v>
      </c>
      <c r="BP27" s="20" cm="1">
        <f t="array" aca="1" ref="BP27" ca="1">_FV(EE27,"Alto")</f>
        <v>19.64</v>
      </c>
      <c r="BQ27" s="32"/>
      <c r="BR27" s="74">
        <f ca="1">SQRT(22.5*(BG27/VLOOKUP(BH27,Fundamentus!A:U,3,FALSE))*(BG27/VLOOKUP(BH27,Fundamentus!A:U,4,FALSE)))</f>
        <v>20.474525537650692</v>
      </c>
      <c r="BT27" s="73">
        <f t="shared" ca="1" si="0"/>
        <v>-4.7856430707876242E-2</v>
      </c>
      <c r="BU27" s="36">
        <f t="shared" si="1"/>
        <v>0.54959349593495921</v>
      </c>
      <c r="BV27" s="8"/>
      <c r="BW27" s="72">
        <f t="shared" si="2"/>
        <v>11.86</v>
      </c>
      <c r="BX27" s="72">
        <f t="shared" si="3"/>
        <v>14.988448275862066</v>
      </c>
      <c r="BY27" s="72">
        <f t="shared" si="4"/>
        <v>20.059999999999999</v>
      </c>
      <c r="BZ27" s="17"/>
      <c r="CA27" s="17"/>
      <c r="CB27" s="43">
        <f t="shared" si="5"/>
        <v>19.090086559131528</v>
      </c>
      <c r="CC27" s="18">
        <f t="shared" si="6"/>
        <v>19.873795688847395</v>
      </c>
      <c r="CD27" s="43">
        <f t="shared" si="7"/>
        <v>20.657504818563261</v>
      </c>
      <c r="CE27" s="98">
        <f t="shared" ca="1" si="8"/>
        <v>-0.98735061199035989</v>
      </c>
      <c r="CF27" s="17"/>
      <c r="CG27" s="20">
        <f t="shared" si="9"/>
        <v>6.3933333333333309</v>
      </c>
      <c r="CH27" s="20">
        <f t="shared" si="10"/>
        <v>9.1266666666666652</v>
      </c>
      <c r="CI27" s="20">
        <f t="shared" si="11"/>
        <v>14.59333333333333</v>
      </c>
      <c r="CJ27" s="49">
        <f t="shared" si="12"/>
        <v>17.326666666666664</v>
      </c>
      <c r="CK27" s="20">
        <f t="shared" si="13"/>
        <v>22.793333333333329</v>
      </c>
      <c r="CL27" s="20">
        <f t="shared" si="14"/>
        <v>25.526666666666664</v>
      </c>
      <c r="CM27" s="20">
        <f t="shared" si="15"/>
        <v>30.993333333333329</v>
      </c>
      <c r="CN27" s="2" cm="1">
        <f t="array" aca="1" ref="CN27" ca="1">MAX(_xlfn._xlws.FILTER(CG27:CM27,CG27:CM27&lt;BG27))</f>
        <v>17.326666666666664</v>
      </c>
      <c r="CO27" s="2" cm="1">
        <f t="array" aca="1" ref="CO27" ca="1">MIN(_xlfn._xlws.FILTER($CG27:$CM27,$CG27:$CM27&gt;BG27))</f>
        <v>22.793333333333329</v>
      </c>
      <c r="CP27" s="19">
        <f t="shared" ca="1" si="65"/>
        <v>0.31550596383224305</v>
      </c>
      <c r="CQ27" s="23">
        <f t="shared" ca="1" si="66"/>
        <v>-0.15775298191612153</v>
      </c>
      <c r="CR27" s="23">
        <f t="shared" ca="1" si="67"/>
        <v>-0.10516865461074769</v>
      </c>
      <c r="CS27" s="23">
        <f t="shared" ca="1" si="68"/>
        <v>-6.3101192766448613E-2</v>
      </c>
      <c r="CT27" s="23">
        <f t="shared" ca="1" si="69"/>
        <v>-3.5056218203582561E-2</v>
      </c>
      <c r="CU27" s="23">
        <f t="shared" ca="1" si="70"/>
        <v>-1.855917434307312E-2</v>
      </c>
      <c r="CV27" s="23">
        <f t="shared" ca="1" si="71"/>
        <v>-9.5607867827952435E-3</v>
      </c>
      <c r="CW27" s="23">
        <f t="shared" ca="1" si="72"/>
        <v>-4.853937905111432E-3</v>
      </c>
      <c r="CX27" s="24">
        <f t="shared" ca="1" si="73"/>
        <v>4.853937905111432E-3</v>
      </c>
      <c r="CY27" s="24">
        <f t="shared" ca="1" si="74"/>
        <v>9.5607867827952435E-3</v>
      </c>
      <c r="CZ27" s="24">
        <f t="shared" ca="1" si="75"/>
        <v>1.855917434307312E-2</v>
      </c>
      <c r="DA27" s="24">
        <f t="shared" ca="1" si="76"/>
        <v>3.5056218203582561E-2</v>
      </c>
      <c r="DB27" s="24">
        <f t="shared" ca="1" si="77"/>
        <v>6.3101192766448613E-2</v>
      </c>
      <c r="DC27" s="24">
        <f t="shared" ca="1" si="78"/>
        <v>0.10516865461074769</v>
      </c>
      <c r="DD27" s="24">
        <f t="shared" ca="1" si="79"/>
        <v>0.15775298191612153</v>
      </c>
      <c r="DF27" s="19" cm="1">
        <f t="array" aca="1" ref="DF27" ca="1">MAX(_xlfn._xlws.FILTER(CQ27:DD27,CQ27:DD27&lt;BJ27))</f>
        <v>-1.855917434307312E-2</v>
      </c>
      <c r="DG27" s="19" cm="1">
        <f t="array" aca="1" ref="DG27" ca="1">MIN(_xlfn._xlws.FILTER(CQ27:DD27,CQ27:DD27&gt;BJ27))</f>
        <v>-9.5607867827952435E-3</v>
      </c>
      <c r="DH27" s="2" cm="1">
        <f t="array" aca="1" ref="DH27" ca="1">_FV(EE27,"Fechamento anterior",TRUE)</f>
        <v>19.45</v>
      </c>
      <c r="DI27" s="36">
        <f t="shared" ca="1" si="22"/>
        <v>6.2712983572645334E-2</v>
      </c>
      <c r="DJ27" s="18">
        <f t="shared" ca="1" si="80"/>
        <v>19.089024059027228</v>
      </c>
      <c r="DK27" s="18">
        <f t="shared" ca="1" si="81"/>
        <v>19.264042697074633</v>
      </c>
      <c r="DL27" s="9"/>
      <c r="DM27" s="9"/>
      <c r="DN27" s="9"/>
      <c r="DO27" s="9"/>
      <c r="DP27" s="79">
        <v>8.0774840133128953E-3</v>
      </c>
      <c r="DQ27" s="79">
        <v>4.2251454838867445E-3</v>
      </c>
      <c r="DR27" s="79">
        <v>9.2901423207893078E-3</v>
      </c>
      <c r="DS27" s="79">
        <f t="shared" ca="1" si="25"/>
        <v>8.9983875602778762E-3</v>
      </c>
      <c r="DT27" s="47"/>
      <c r="DU27" s="43">
        <f t="shared" si="26"/>
        <v>0.39185456485793291</v>
      </c>
      <c r="DV27" s="83">
        <f t="shared" ca="1" si="27"/>
        <v>1.6649999999999998</v>
      </c>
      <c r="DW27" s="83">
        <f t="shared" ca="1" si="28"/>
        <v>3.0384000000000002</v>
      </c>
      <c r="DX27" s="83">
        <f t="shared" ca="1" si="29"/>
        <v>-1.3734000000000004</v>
      </c>
      <c r="DY27" s="67"/>
      <c r="DZ27" s="67"/>
      <c r="EA27" s="85"/>
      <c r="EB27" s="44">
        <v>405400</v>
      </c>
      <c r="EC27" s="44" cm="1">
        <f t="array" aca="1" ref="EC27" ca="1">_FV(EE27,"Volume")</f>
        <v>166700</v>
      </c>
      <c r="EE27" s="2" t="e" vm="27">
        <v>#VALUE!</v>
      </c>
      <c r="EG27" s="10" cm="1">
        <f t="array" aca="1" ref="EG27" ca="1">_FV(EE27,"Ações em circulação",TRUE)</f>
        <v>85608390</v>
      </c>
      <c r="EH27" s="21">
        <f>VLOOKUP(BH27,Fundamentus!A:U,5,FALSE)</f>
        <v>1.119</v>
      </c>
      <c r="EI27" s="2">
        <f t="shared" ca="1" si="30"/>
        <v>1461233466.4879358</v>
      </c>
      <c r="EJ27" s="20">
        <v>129680262.41045576</v>
      </c>
      <c r="EK27" s="20">
        <f t="shared" ca="1" si="31"/>
        <v>123474227.91823058</v>
      </c>
      <c r="EM27" s="40" t="str">
        <f>IF(VLOOKUP(BH27,Fundamentus!A:U,3,FALSE)&lt;15,"Bom",IF(VLOOKUP(BH27,Fundamentus!A:U,3,FALSE)&gt;15,"Ruim","n/a"))</f>
        <v>Bom</v>
      </c>
      <c r="EN27" s="36" t="str">
        <f>IF(VLOOKUP(BH27,Fundamentus!A:U,4,FALSE)&lt;1,"Baixo",IF(VLOOKUP(BH27,Fundamentus!A:U,4,FALSE)&lt;1.5,"Moderado",IF(VLOOKUP(BH27,Fundamentus!A:U,4,FALSE)&gt;1.5,"Alto","n/a")))</f>
        <v>Moderado</v>
      </c>
      <c r="EO27" s="20" t="str">
        <f>IF(VLOOKUP(BH27,Fundamentus!A:U,8,FALSE)&lt;0,"Risco elevado",IF(VLOOKUP(BH27,Fundamentus!A:U,8,FALSE)&lt;1,"Saudável",IF(VLOOKUP(BH27,Fundamentus!A:U,8,FALSE)&lt;3,"Estável",IF(VLOOKUP(BH27,Fundamentus!A:U,8,FALSE)&gt;3,"Alerta","n/a"))))</f>
        <v>Estável</v>
      </c>
      <c r="EP27" s="36" t="str">
        <f t="shared" si="32"/>
        <v>Bom</v>
      </c>
      <c r="EQ27" s="20" t="str">
        <f>IF(VLOOKUP(BH27,Fundamentus!A:U,12,FALSE)&lt;2,"Subvalorizada",IF(VLOOKUP(BH27,Fundamentus!A:U,12,FALSE)&lt;6,"Muita barata",IF(VLOOKUP(BH27,Fundamentus!A:U,12,FALSE)&lt;6,"Barata",IF(VLOOKUP(BH27,Fundamentus!A:U,12,FALSE)&lt;8,"Atrativa",IF(VLOOKUP(BH27,Fundamentus!A:U,12,FALSE)&gt;8,"Supervalorizada","n/a")))))</f>
        <v>Atrativa</v>
      </c>
      <c r="ES27" s="20" t="str">
        <f>IF(VLOOKUP(BH27,Fundamentus!A:U,17,FALSE)&lt;0.1,"Fraco retorno",IF(VLOOKUP(BH27,Fundamentus!A:U,17,FALSE)&gt;0.1,"Bom retorno","n/a"))</f>
        <v>Bom retorno</v>
      </c>
      <c r="ET27" s="20" t="str">
        <f>IF(VLOOKUP(BH27,Fundamentus!A:U,16,FALSE)&lt;0.1,"Ineficiente",IF(VLOOKUP(BH27,Fundamentus!A:U,16,FALSE)&gt;0.1,"Eficiente","n/a"))</f>
        <v>Eficiente</v>
      </c>
      <c r="EU27" s="41" t="str">
        <f>IF(VLOOKUP(BH27,Fundamentus!A:U,16,FALSE)&lt;0.1,"Oper. Ineficiente",IF(VLOOKUP(BH27,Fundamentus!A:U,16,FALSE)&gt;0.1,"Oper.Eficiente","n/a"))</f>
        <v>Oper.Eficiente</v>
      </c>
      <c r="EV27" s="42">
        <f>VLOOKUP(BH27,Fundamentus!A:U,14,FALSE)</f>
        <v>8.4500000000000006E-2</v>
      </c>
      <c r="EW27" s="20" t="str">
        <f>IF(VLOOKUP(BH27,Fundamentus!A:U,21,FALSE)&lt;0,"Negativo",IF(VLOOKUP(BH27,Fundamentus!A:U,21,FALSE)&lt;0.05,"Fraco",IF(VLOOKUP(BH27,Fundamentus!A:U,21,FALSE)&lt;0.1,"Bom",IF(VLOOKUP(BH27,Fundamentus!A:U,21,FALSE)&gt;0.1,"Muito bom","n/a"))))</f>
        <v>Muito bom</v>
      </c>
      <c r="EY27" s="37" t="str">
        <f>IF(VLOOKUP(BH27,Fundamentus!A:U,15,FALSE)&gt;1,"Bom",IF(VLOOKUP(BH27,Fundamentus!A:U,15,FALSE)&lt;1,"Ruim","n/a"))</f>
        <v>Bom</v>
      </c>
      <c r="EZ27" s="20" t="str">
        <f>IF(VLOOKUP(BH27,Fundamentus!A:U,20,FALSE)&lt;0.5,"Baixa",IF(VLOOKUP(BH27,Fundamentus!A:U,20,FALSE)&lt;1,"Moderada",IF(VLOOKUP(BH27,Fundamentus!A:U,20,FALSE)&lt;2,"Alerta",IF(VLOOKUP(BH27,Fundamentus!A:U,20,FALSE)&gt;2,"Alta","n/a"))))</f>
        <v>Baixa</v>
      </c>
    </row>
    <row r="28" spans="1:157" s="2" customFormat="1" ht="11.25" hidden="1" x14ac:dyDescent="0.2">
      <c r="A28" s="4">
        <v>48.25</v>
      </c>
      <c r="B28" s="4">
        <v>44.8</v>
      </c>
      <c r="C28" s="4">
        <v>45</v>
      </c>
      <c r="D28" s="4">
        <v>43.86</v>
      </c>
      <c r="E28" s="4">
        <v>45.6</v>
      </c>
      <c r="F28" s="4">
        <v>44.3</v>
      </c>
      <c r="G28" s="4">
        <v>40.369999999999997</v>
      </c>
      <c r="H28" s="4">
        <v>41</v>
      </c>
      <c r="I28" s="4">
        <v>44.5</v>
      </c>
      <c r="J28" s="4">
        <v>44.62</v>
      </c>
      <c r="K28" s="4">
        <v>44.8</v>
      </c>
      <c r="L28" s="4">
        <v>43.33</v>
      </c>
      <c r="M28" s="4">
        <v>43.09</v>
      </c>
      <c r="N28" s="4">
        <v>43.5</v>
      </c>
      <c r="O28" s="4">
        <v>42.39</v>
      </c>
      <c r="P28" s="4">
        <v>42</v>
      </c>
      <c r="Q28" s="4">
        <v>44.36</v>
      </c>
      <c r="R28" s="4">
        <v>44.88</v>
      </c>
      <c r="S28" s="4">
        <v>42.93</v>
      </c>
      <c r="T28" s="4">
        <v>40.69</v>
      </c>
      <c r="U28" s="4">
        <v>40.15</v>
      </c>
      <c r="V28" s="4">
        <v>39.36</v>
      </c>
      <c r="W28" s="4">
        <v>37.32</v>
      </c>
      <c r="X28" s="4">
        <v>36</v>
      </c>
      <c r="Y28" s="4">
        <v>36.6</v>
      </c>
      <c r="Z28" s="4">
        <v>35.01</v>
      </c>
      <c r="AA28" s="4">
        <v>36</v>
      </c>
      <c r="AB28" s="4">
        <v>33</v>
      </c>
      <c r="AC28" s="4">
        <v>33.549999999999997</v>
      </c>
      <c r="AD28" s="4">
        <v>34.18</v>
      </c>
      <c r="AE28" s="4">
        <v>37</v>
      </c>
      <c r="AF28" s="4">
        <v>35.68</v>
      </c>
      <c r="AG28" s="4">
        <v>33.28</v>
      </c>
      <c r="AH28" s="4">
        <v>36.880000000000003</v>
      </c>
      <c r="AI28" s="4">
        <v>38.19</v>
      </c>
      <c r="AJ28" s="4">
        <v>38.99</v>
      </c>
      <c r="AK28" s="4">
        <v>38.19</v>
      </c>
      <c r="AL28" s="4">
        <v>37.03</v>
      </c>
      <c r="AM28" s="4">
        <v>37.9</v>
      </c>
      <c r="AN28" s="4">
        <v>41.79</v>
      </c>
      <c r="AO28" s="4">
        <v>41.89</v>
      </c>
      <c r="AP28" s="4">
        <v>41.95</v>
      </c>
      <c r="AQ28" s="4">
        <v>42.73</v>
      </c>
      <c r="AR28" s="4">
        <v>43.8</v>
      </c>
      <c r="AS28" s="4">
        <v>43.78</v>
      </c>
      <c r="AT28" s="4">
        <v>43.42</v>
      </c>
      <c r="AU28" s="4">
        <v>40.994999999999997</v>
      </c>
      <c r="AV28" s="4">
        <v>43.39</v>
      </c>
      <c r="AW28" s="4">
        <v>43.47</v>
      </c>
      <c r="AX28" s="4">
        <v>39.659999999999997</v>
      </c>
      <c r="AY28" s="12">
        <v>39.22</v>
      </c>
      <c r="AZ28" s="12">
        <v>40.97</v>
      </c>
      <c r="BA28" s="12">
        <v>43.8</v>
      </c>
      <c r="BB28" s="18">
        <v>41.32</v>
      </c>
      <c r="BC28" s="63">
        <v>42.19</v>
      </c>
      <c r="BD28" s="63">
        <v>41.6</v>
      </c>
      <c r="BE28" s="63">
        <v>43.96</v>
      </c>
      <c r="BF28" s="63">
        <v>40.89</v>
      </c>
      <c r="BG28" s="91" cm="1">
        <f t="array" aca="1" ref="BG28" ca="1">_FV(EE28,"Preço")</f>
        <v>42.15</v>
      </c>
      <c r="BH28" s="93" t="s">
        <v>26</v>
      </c>
      <c r="BI28" s="32" cm="1">
        <f t="array" aca="1" ref="BI28" ca="1">_FV(EE28,"Beta")</f>
        <v>0.52249999999999996</v>
      </c>
      <c r="BJ28" s="96" cm="1">
        <f t="array" aca="1" ref="BJ28" ca="1">_FV(EE28,"Variação (%)",TRUE)</f>
        <v>9.0969999999999992E-3</v>
      </c>
      <c r="BK28" s="49"/>
      <c r="BL28" s="49"/>
      <c r="BN28" s="32"/>
      <c r="BO28" s="20" cm="1">
        <f t="array" aca="1" ref="BO28" ca="1">_FV(EE28,"Baixo")</f>
        <v>41.5</v>
      </c>
      <c r="BP28" s="20" cm="1">
        <f t="array" aca="1" ref="BP28" ca="1">_FV(EE28,"Alto")</f>
        <v>42.15</v>
      </c>
      <c r="BQ28" s="32"/>
      <c r="BR28" s="74">
        <f ca="1">SQRT(22.5*(BG28/VLOOKUP(BH28,Fundamentus!A:U,3,FALSE))*(BG28/VLOOKUP(BH28,Fundamentus!A:U,4,FALSE)))</f>
        <v>73.942563992082157</v>
      </c>
      <c r="BT28" s="73">
        <f t="shared" ca="1" si="0"/>
        <v>3.0814380044020494E-2</v>
      </c>
      <c r="BU28" s="36">
        <f t="shared" si="1"/>
        <v>-8.8911917098445578E-2</v>
      </c>
      <c r="BV28" s="8"/>
      <c r="BW28" s="72">
        <f t="shared" si="2"/>
        <v>33</v>
      </c>
      <c r="BX28" s="72">
        <f t="shared" si="3"/>
        <v>40.851810344827591</v>
      </c>
      <c r="BY28" s="72">
        <f t="shared" si="4"/>
        <v>48.25</v>
      </c>
      <c r="BZ28" s="17"/>
      <c r="CA28" s="17"/>
      <c r="CB28" s="43">
        <f t="shared" si="5"/>
        <v>39.526152366080083</v>
      </c>
      <c r="CC28" s="18">
        <f t="shared" si="6"/>
        <v>41.799343955014024</v>
      </c>
      <c r="CD28" s="43">
        <f t="shared" si="7"/>
        <v>44.072535543947964</v>
      </c>
      <c r="CE28" s="98">
        <f t="shared" ca="1" si="8"/>
        <v>0.15425714519312564</v>
      </c>
      <c r="CF28" s="17"/>
      <c r="CG28" s="20">
        <f t="shared" si="9"/>
        <v>17.926666666666662</v>
      </c>
      <c r="CH28" s="20">
        <f t="shared" si="10"/>
        <v>25.463333333333331</v>
      </c>
      <c r="CI28" s="20">
        <f t="shared" si="11"/>
        <v>33.176666666666662</v>
      </c>
      <c r="CJ28" s="49">
        <f t="shared" si="12"/>
        <v>40.713333333333331</v>
      </c>
      <c r="CK28" s="20">
        <f t="shared" si="13"/>
        <v>48.426666666666662</v>
      </c>
      <c r="CL28" s="20">
        <f t="shared" si="14"/>
        <v>55.963333333333331</v>
      </c>
      <c r="CM28" s="20">
        <f t="shared" si="15"/>
        <v>63.676666666666662</v>
      </c>
      <c r="CN28" s="2" cm="1">
        <f t="array" aca="1" ref="CN28" ca="1">MAX(_xlfn._xlws.FILTER(CG28:CM28,CG28:CM28&lt;BG28))</f>
        <v>40.713333333333331</v>
      </c>
      <c r="CO28" s="2" cm="1">
        <f t="array" aca="1" ref="CO28" ca="1">MIN(_xlfn._xlws.FILTER($CG28:$CM28,$CG28:$CM28&gt;BG28))</f>
        <v>48.426666666666662</v>
      </c>
      <c r="CP28" s="19">
        <f t="shared" ca="1" si="65"/>
        <v>0.18945472408711317</v>
      </c>
      <c r="CQ28" s="23">
        <f t="shared" ca="1" si="66"/>
        <v>-9.4727362043556584E-2</v>
      </c>
      <c r="CR28" s="23">
        <f t="shared" ca="1" si="67"/>
        <v>-6.3151574695704385E-2</v>
      </c>
      <c r="CS28" s="23">
        <f t="shared" ca="1" si="68"/>
        <v>-3.7890944817422632E-2</v>
      </c>
      <c r="CT28" s="23">
        <f t="shared" ca="1" si="69"/>
        <v>-2.1050524898568131E-2</v>
      </c>
      <c r="CU28" s="23">
        <f t="shared" ca="1" si="70"/>
        <v>-1.114439553453607E-2</v>
      </c>
      <c r="CV28" s="23">
        <f t="shared" ca="1" si="71"/>
        <v>-5.741052245064035E-3</v>
      </c>
      <c r="CW28" s="23">
        <f t="shared" ca="1" si="72"/>
        <v>-2.914688062878664E-3</v>
      </c>
      <c r="CX28" s="24">
        <f t="shared" ca="1" si="73"/>
        <v>2.914688062878664E-3</v>
      </c>
      <c r="CY28" s="24">
        <f t="shared" ca="1" si="74"/>
        <v>5.741052245064035E-3</v>
      </c>
      <c r="CZ28" s="24">
        <f t="shared" ca="1" si="75"/>
        <v>1.114439553453607E-2</v>
      </c>
      <c r="DA28" s="24">
        <f t="shared" ca="1" si="76"/>
        <v>2.1050524898568131E-2</v>
      </c>
      <c r="DB28" s="24">
        <f t="shared" ca="1" si="77"/>
        <v>3.7890944817422632E-2</v>
      </c>
      <c r="DC28" s="24">
        <f t="shared" ca="1" si="78"/>
        <v>6.3151574695704385E-2</v>
      </c>
      <c r="DD28" s="24">
        <f t="shared" ca="1" si="79"/>
        <v>9.4727362043556584E-2</v>
      </c>
      <c r="DF28" s="19" cm="1">
        <f t="array" aca="1" ref="DF28" ca="1">MAX(_xlfn._xlws.FILTER(CQ28:DD28,CQ28:DD28&lt;BJ28))</f>
        <v>5.741052245064035E-3</v>
      </c>
      <c r="DG28" s="19" cm="1">
        <f t="array" aca="1" ref="DG28" ca="1">MIN(_xlfn._xlws.FILTER(CQ28:DD28,CQ28:DD28&gt;BJ28))</f>
        <v>1.114439553453607E-2</v>
      </c>
      <c r="DH28" s="2" cm="1">
        <f t="array" aca="1" ref="DH28" ca="1">_FV(EE28,"Fechamento anterior",TRUE)</f>
        <v>41.77</v>
      </c>
      <c r="DI28" s="36">
        <f t="shared" ca="1" si="22"/>
        <v>0.62116840037913434</v>
      </c>
      <c r="DJ28" s="18">
        <f t="shared" ca="1" si="80"/>
        <v>42.009803752276326</v>
      </c>
      <c r="DK28" s="18">
        <f t="shared" ca="1" si="81"/>
        <v>42.235501401477578</v>
      </c>
      <c r="DL28" s="9"/>
      <c r="DM28" s="9"/>
      <c r="DN28" s="9"/>
      <c r="DO28" s="9"/>
      <c r="DP28" s="79">
        <v>1.9912982713857982E-3</v>
      </c>
      <c r="DQ28" s="79">
        <v>7.2468072468072457E-3</v>
      </c>
      <c r="DR28" s="79">
        <v>1.1864818867007049E-2</v>
      </c>
      <c r="DS28" s="79">
        <f t="shared" ca="1" si="25"/>
        <v>5.4033432894720346E-3</v>
      </c>
      <c r="DT28" s="47"/>
      <c r="DU28" s="43">
        <f t="shared" si="26"/>
        <v>1.1365957944669687</v>
      </c>
      <c r="DV28" s="83">
        <f t="shared" ca="1" si="27"/>
        <v>0.94859999999999989</v>
      </c>
      <c r="DW28" s="83">
        <f t="shared" ca="1" si="28"/>
        <v>-0.38719999999999999</v>
      </c>
      <c r="DX28" s="83">
        <f t="shared" ca="1" si="29"/>
        <v>1.3357999999999999</v>
      </c>
      <c r="DY28" s="67"/>
      <c r="DZ28" s="67"/>
      <c r="EA28" s="85"/>
      <c r="EB28" s="44">
        <v>800</v>
      </c>
      <c r="EC28" s="44" cm="1">
        <f t="array" aca="1" ref="EC28" ca="1">_FV(EE28,"Volume")</f>
        <v>1100</v>
      </c>
      <c r="EE28" s="2" t="e" vm="28">
        <v>#VALUE!</v>
      </c>
      <c r="EG28" s="10" cm="1">
        <f t="array" aca="1" ref="EG28" ca="1">_FV(EE28,"Ações em circulação",TRUE)</f>
        <v>9137260</v>
      </c>
      <c r="EH28" s="21">
        <f>VLOOKUP(BH28,Fundamentus!A:U,5,FALSE)</f>
        <v>0.67900000000000005</v>
      </c>
      <c r="EI28" s="2">
        <f t="shared" ca="1" si="30"/>
        <v>567209880.70692194</v>
      </c>
      <c r="EJ28" s="20">
        <v>38847942.319351986</v>
      </c>
      <c r="EK28" s="20">
        <f t="shared" ca="1" si="31"/>
        <v>40045017.577908687</v>
      </c>
      <c r="EM28" s="40" t="str">
        <f>IF(VLOOKUP(BH28,Fundamentus!A:U,3,FALSE)&lt;15,"Bom",IF(VLOOKUP(BH28,Fundamentus!A:U,3,FALSE)&gt;15,"Ruim","n/a"))</f>
        <v>Bom</v>
      </c>
      <c r="EN28" s="36" t="str">
        <f>IF(VLOOKUP(BH28,Fundamentus!A:U,4,FALSE)&lt;1,"Baixo",IF(VLOOKUP(BH28,Fundamentus!A:U,4,FALSE)&lt;1.5,"Moderado",IF(VLOOKUP(BH28,Fundamentus!A:U,4,FALSE)&gt;1.5,"Alto","n/a")))</f>
        <v>Baixo</v>
      </c>
      <c r="EO28" s="20" t="str">
        <f>IF(VLOOKUP(BH28,Fundamentus!A:U,8,FALSE)&lt;0,"Risco elevado",IF(VLOOKUP(BH28,Fundamentus!A:U,8,FALSE)&lt;1,"Saudável",IF(VLOOKUP(BH28,Fundamentus!A:U,8,FALSE)&lt;3,"Estável",IF(VLOOKUP(BH28,Fundamentus!A:U,8,FALSE)&gt;3,"Alerta","n/a"))))</f>
        <v>Estável</v>
      </c>
      <c r="EP28" s="36" t="str">
        <f t="shared" si="32"/>
        <v>Ruim</v>
      </c>
      <c r="EQ28" s="20" t="str">
        <f>IF(VLOOKUP(BH28,Fundamentus!A:U,12,FALSE)&lt;2,"Subvalorizada",IF(VLOOKUP(BH28,Fundamentus!A:U,12,FALSE)&lt;6,"Muita barata",IF(VLOOKUP(BH28,Fundamentus!A:U,12,FALSE)&lt;6,"Barata",IF(VLOOKUP(BH28,Fundamentus!A:U,12,FALSE)&lt;8,"Atrativa",IF(VLOOKUP(BH28,Fundamentus!A:U,12,FALSE)&gt;8,"Supervalorizada","n/a")))))</f>
        <v>Muita barata</v>
      </c>
      <c r="ES28" s="20" t="str">
        <f>IF(VLOOKUP(BH28,Fundamentus!A:U,17,FALSE)&lt;0.1,"Fraco retorno",IF(VLOOKUP(BH28,Fundamentus!A:U,17,FALSE)&gt;0.1,"Bom retorno","n/a"))</f>
        <v>Fraco retorno</v>
      </c>
      <c r="ET28" s="20" t="str">
        <f>IF(VLOOKUP(BH28,Fundamentus!A:U,16,FALSE)&lt;0.1,"Ineficiente",IF(VLOOKUP(BH28,Fundamentus!A:U,16,FALSE)&gt;0.1,"Eficiente","n/a"))</f>
        <v>Eficiente</v>
      </c>
      <c r="EU28" s="41" t="str">
        <f>IF(VLOOKUP(BH28,Fundamentus!A:U,16,FALSE)&lt;0.1,"Oper. Ineficiente",IF(VLOOKUP(BH28,Fundamentus!A:U,16,FALSE)&gt;0.1,"Oper.Eficiente","n/a"))</f>
        <v>Oper.Eficiente</v>
      </c>
      <c r="EV28" s="42">
        <f>VLOOKUP(BH28,Fundamentus!A:U,14,FALSE)</f>
        <v>7.0599999999999996E-2</v>
      </c>
      <c r="EW28" s="20" t="str">
        <f>IF(VLOOKUP(BH28,Fundamentus!A:U,21,FALSE)&lt;0,"Negativo",IF(VLOOKUP(BH28,Fundamentus!A:U,21,FALSE)&lt;0.05,"Fraco",IF(VLOOKUP(BH28,Fundamentus!A:U,21,FALSE)&lt;0.1,"Bom",IF(VLOOKUP(BH28,Fundamentus!A:U,21,FALSE)&gt;0.1,"Muito bom","n/a"))))</f>
        <v>Fraco</v>
      </c>
      <c r="EY28" s="37" t="str">
        <f>IF(VLOOKUP(BH28,Fundamentus!A:U,15,FALSE)&gt;1,"Bom",IF(VLOOKUP(BH28,Fundamentus!A:U,15,FALSE)&lt;1,"Ruim","n/a"))</f>
        <v>Bom</v>
      </c>
      <c r="EZ28" s="20" t="str">
        <f>IF(VLOOKUP(BH28,Fundamentus!A:U,20,FALSE)&lt;0.5,"Baixa",IF(VLOOKUP(BH28,Fundamentus!A:U,20,FALSE)&lt;1,"Moderada",IF(VLOOKUP(BH28,Fundamentus!A:U,20,FALSE)&lt;2,"Alerta",IF(VLOOKUP(BH28,Fundamentus!A:U,20,FALSE)&gt;2,"Alta","n/a"))))</f>
        <v>Baixa</v>
      </c>
    </row>
    <row r="29" spans="1:157" s="2" customFormat="1" ht="11.25" hidden="1" x14ac:dyDescent="0.2">
      <c r="A29" s="4">
        <v>10.6</v>
      </c>
      <c r="B29" s="4">
        <v>10.1</v>
      </c>
      <c r="C29" s="4">
        <v>10.02</v>
      </c>
      <c r="D29" s="4">
        <v>10.220000000000001</v>
      </c>
      <c r="E29" s="4">
        <v>10.75</v>
      </c>
      <c r="F29" s="4">
        <v>10.55</v>
      </c>
      <c r="G29" s="4">
        <v>10.45</v>
      </c>
      <c r="H29" s="4">
        <v>10.64</v>
      </c>
      <c r="I29" s="4">
        <v>10.52</v>
      </c>
      <c r="J29" s="4">
        <v>10.53</v>
      </c>
      <c r="K29" s="4">
        <v>11.26</v>
      </c>
      <c r="L29" s="4">
        <v>11.15</v>
      </c>
      <c r="M29" s="4">
        <v>11.32</v>
      </c>
      <c r="N29" s="4">
        <v>11.33</v>
      </c>
      <c r="O29" s="4">
        <v>11.95</v>
      </c>
      <c r="P29" s="4">
        <v>12.3</v>
      </c>
      <c r="Q29" s="4">
        <v>12.3</v>
      </c>
      <c r="R29" s="4">
        <v>12.68</v>
      </c>
      <c r="S29" s="4">
        <v>12.4</v>
      </c>
      <c r="T29" s="4">
        <v>12.23</v>
      </c>
      <c r="U29" s="4">
        <v>11.85</v>
      </c>
      <c r="V29" s="4">
        <v>12.56</v>
      </c>
      <c r="W29" s="4">
        <v>12.49</v>
      </c>
      <c r="X29" s="4">
        <v>12.2</v>
      </c>
      <c r="Y29" s="4">
        <v>11.96</v>
      </c>
      <c r="Z29" s="4">
        <v>12.2</v>
      </c>
      <c r="AA29" s="4">
        <v>11.93</v>
      </c>
      <c r="AB29" s="4">
        <v>11.55</v>
      </c>
      <c r="AC29" s="4">
        <v>11.59</v>
      </c>
      <c r="AD29" s="4">
        <v>11.25</v>
      </c>
      <c r="AE29" s="4">
        <v>10.61</v>
      </c>
      <c r="AF29" s="4">
        <v>9.91</v>
      </c>
      <c r="AG29" s="4">
        <v>10.43</v>
      </c>
      <c r="AH29" s="4">
        <v>10.64</v>
      </c>
      <c r="AI29" s="4">
        <v>10.66</v>
      </c>
      <c r="AJ29" s="4">
        <v>10.49</v>
      </c>
      <c r="AK29" s="4">
        <v>10.74</v>
      </c>
      <c r="AL29" s="4">
        <v>11.22</v>
      </c>
      <c r="AM29" s="4">
        <v>11.2</v>
      </c>
      <c r="AN29" s="4">
        <v>11.4</v>
      </c>
      <c r="AO29" s="4">
        <v>10.48</v>
      </c>
      <c r="AP29" s="4">
        <v>10.84</v>
      </c>
      <c r="AQ29" s="4">
        <v>10.69</v>
      </c>
      <c r="AR29" s="4">
        <v>10.3</v>
      </c>
      <c r="AS29" s="4">
        <v>10.25</v>
      </c>
      <c r="AT29" s="4">
        <v>10.3</v>
      </c>
      <c r="AU29" s="4">
        <v>10.09</v>
      </c>
      <c r="AV29" s="4">
        <v>10.45</v>
      </c>
      <c r="AW29" s="4">
        <v>9.76</v>
      </c>
      <c r="AX29" s="4">
        <v>9.5</v>
      </c>
      <c r="AY29" s="12">
        <v>9.6300000000000008</v>
      </c>
      <c r="AZ29" s="12">
        <v>9.5</v>
      </c>
      <c r="BA29" s="12">
        <v>9.5</v>
      </c>
      <c r="BB29" s="18">
        <v>9.84</v>
      </c>
      <c r="BC29" s="63">
        <v>10.1</v>
      </c>
      <c r="BD29" s="63">
        <v>9.7100000000000009</v>
      </c>
      <c r="BE29" s="63">
        <v>9.75</v>
      </c>
      <c r="BF29" s="63">
        <v>9.6</v>
      </c>
      <c r="BG29" s="91" cm="1">
        <f t="array" aca="1" ref="BG29" ca="1">_FV(EE29,"Preço")</f>
        <v>9.7200000000000006</v>
      </c>
      <c r="BH29" s="93" t="s">
        <v>27</v>
      </c>
      <c r="BI29" s="32" cm="1">
        <f t="array" aca="1" ref="BI29" ca="1">_FV(EE29,"Beta")</f>
        <v>0.14099999999999999</v>
      </c>
      <c r="BJ29" s="96" cm="1">
        <f t="array" aca="1" ref="BJ29" ca="1">_FV(EE29,"Variação (%)",TRUE)</f>
        <v>0</v>
      </c>
      <c r="BK29" s="49"/>
      <c r="BL29" s="49"/>
      <c r="BN29" s="32"/>
      <c r="BO29" s="20" cm="1">
        <f t="array" aca="1" ref="BO29" ca="1">_FV(EE29,"Baixo")</f>
        <v>9.6999999999999993</v>
      </c>
      <c r="BP29" s="20" cm="1">
        <f t="array" aca="1" ref="BP29" ca="1">_FV(EE29,"Alto")</f>
        <v>9.82</v>
      </c>
      <c r="BQ29" s="32"/>
      <c r="BR29" s="74">
        <f ca="1">SQRT(22.5*(BG29/VLOOKUP(BH29,Fundamentus!A:U,3,FALSE))*(BG29/VLOOKUP(BH29,Fundamentus!A:U,4,FALSE)))</f>
        <v>16.919892410354056</v>
      </c>
      <c r="BT29" s="73">
        <f t="shared" ca="1" si="0"/>
        <v>1.2500000000000105E-2</v>
      </c>
      <c r="BU29" s="36">
        <f t="shared" si="1"/>
        <v>-8.0188679245282987E-2</v>
      </c>
      <c r="BV29" s="8"/>
      <c r="BW29" s="72">
        <f t="shared" si="2"/>
        <v>9.5</v>
      </c>
      <c r="BX29" s="72">
        <f t="shared" si="3"/>
        <v>10.870172413793108</v>
      </c>
      <c r="BY29" s="72">
        <f t="shared" si="4"/>
        <v>12.68</v>
      </c>
      <c r="BZ29" s="17"/>
      <c r="CA29" s="17"/>
      <c r="CB29" s="43">
        <f t="shared" si="5"/>
        <v>9.0549110504770383</v>
      </c>
      <c r="CC29" s="18">
        <f t="shared" si="6"/>
        <v>9.4293439550140192</v>
      </c>
      <c r="CD29" s="43">
        <f t="shared" si="7"/>
        <v>9.8037768595510002</v>
      </c>
      <c r="CE29" s="98">
        <f t="shared" ca="1" si="8"/>
        <v>0.77625668434616613</v>
      </c>
      <c r="CF29" s="17"/>
      <c r="CG29" s="20">
        <f t="shared" si="9"/>
        <v>5.326666666666668</v>
      </c>
      <c r="CH29" s="20">
        <f t="shared" si="10"/>
        <v>7.413333333333334</v>
      </c>
      <c r="CI29" s="20">
        <f t="shared" si="11"/>
        <v>8.5066666666666677</v>
      </c>
      <c r="CJ29" s="49">
        <f t="shared" si="12"/>
        <v>10.593333333333334</v>
      </c>
      <c r="CK29" s="20">
        <f t="shared" si="13"/>
        <v>11.686666666666667</v>
      </c>
      <c r="CL29" s="20">
        <f t="shared" si="14"/>
        <v>13.773333333333333</v>
      </c>
      <c r="CM29" s="20">
        <f t="shared" si="15"/>
        <v>14.866666666666667</v>
      </c>
      <c r="CN29" s="2" cm="1">
        <f t="array" aca="1" ref="CN29" ca="1">MAX(_xlfn._xlws.FILTER(CG29:CM29,CG29:CM29&lt;BG29))</f>
        <v>8.5066666666666677</v>
      </c>
      <c r="CO29" s="2" cm="1">
        <f t="array" aca="1" ref="CO29" ca="1">MIN(_xlfn._xlws.FILTER($CG29:$CM29,$CG29:$CM29&gt;BG29))</f>
        <v>10.593333333333334</v>
      </c>
      <c r="CP29" s="19">
        <f t="shared" ca="1" si="65"/>
        <v>0.24529780564263315</v>
      </c>
      <c r="CQ29" s="23">
        <f t="shared" ca="1" si="66"/>
        <v>-0.12264890282131657</v>
      </c>
      <c r="CR29" s="23">
        <f t="shared" ca="1" si="67"/>
        <v>-8.176593521421105E-2</v>
      </c>
      <c r="CS29" s="23">
        <f t="shared" ca="1" si="68"/>
        <v>-4.9059561128526628E-2</v>
      </c>
      <c r="CT29" s="23">
        <f t="shared" ca="1" si="69"/>
        <v>-2.7255311738070349E-2</v>
      </c>
      <c r="CU29" s="23">
        <f t="shared" ca="1" si="70"/>
        <v>-1.4429282684860774E-2</v>
      </c>
      <c r="CV29" s="23">
        <f t="shared" ca="1" si="71"/>
        <v>-7.43326683765555E-3</v>
      </c>
      <c r="CW29" s="23">
        <f t="shared" ca="1" si="72"/>
        <v>-3.7738123945020483E-3</v>
      </c>
      <c r="CX29" s="24">
        <f t="shared" ca="1" si="73"/>
        <v>3.7738123945020483E-3</v>
      </c>
      <c r="CY29" s="24">
        <f t="shared" ca="1" si="74"/>
        <v>7.43326683765555E-3</v>
      </c>
      <c r="CZ29" s="24">
        <f t="shared" ca="1" si="75"/>
        <v>1.4429282684860774E-2</v>
      </c>
      <c r="DA29" s="24">
        <f t="shared" ca="1" si="76"/>
        <v>2.7255311738070349E-2</v>
      </c>
      <c r="DB29" s="24">
        <f t="shared" ca="1" si="77"/>
        <v>4.9059561128526628E-2</v>
      </c>
      <c r="DC29" s="24">
        <f t="shared" ca="1" si="78"/>
        <v>8.176593521421105E-2</v>
      </c>
      <c r="DD29" s="24">
        <f t="shared" ca="1" si="79"/>
        <v>0.12264890282131657</v>
      </c>
      <c r="DF29" s="19" cm="1">
        <f t="array" aca="1" ref="DF29" ca="1">MAX(_xlfn._xlws.FILTER(CQ29:DD29,CQ29:DD29&lt;BJ29))</f>
        <v>-3.7738123945020483E-3</v>
      </c>
      <c r="DG29" s="19" cm="1">
        <f t="array" aca="1" ref="DG29" ca="1">MIN(_xlfn._xlws.FILTER(CQ29:DD29,CQ29:DD29&gt;BJ29))</f>
        <v>3.7738123945020483E-3</v>
      </c>
      <c r="DH29" s="2" cm="1">
        <f t="array" aca="1" ref="DH29" ca="1">_FV(EE29,"Fechamento anterior",TRUE)</f>
        <v>9.7200000000000006</v>
      </c>
      <c r="DI29" s="36">
        <f t="shared" ca="1" si="22"/>
        <v>0.5</v>
      </c>
      <c r="DJ29" s="18">
        <f t="shared" ca="1" si="80"/>
        <v>9.6833185435254414</v>
      </c>
      <c r="DK29" s="18">
        <f t="shared" ca="1" si="81"/>
        <v>9.7566814564745599</v>
      </c>
      <c r="DL29" s="9"/>
      <c r="DM29" s="9"/>
      <c r="DN29" s="9"/>
      <c r="DO29" s="9"/>
      <c r="DP29" s="79">
        <v>9.9939200486396044E-3</v>
      </c>
      <c r="DQ29" s="79">
        <v>2.5484496124030989E-2</v>
      </c>
      <c r="DR29" s="79">
        <v>5.8810375670840737E-3</v>
      </c>
      <c r="DS29" s="79">
        <f t="shared" ca="1" si="25"/>
        <v>7.5476247890040966E-3</v>
      </c>
      <c r="DT29" s="47"/>
      <c r="DU29" s="43">
        <f t="shared" si="26"/>
        <v>0.1872164522684904</v>
      </c>
      <c r="DV29" s="83">
        <f t="shared" ca="1" si="27"/>
        <v>0.56709999999999994</v>
      </c>
      <c r="DW29" s="83">
        <f t="shared" ca="1" si="28"/>
        <v>0.14099999999999999</v>
      </c>
      <c r="DX29" s="83">
        <f t="shared" ca="1" si="29"/>
        <v>0.42609999999999992</v>
      </c>
      <c r="DY29" s="67"/>
      <c r="DZ29" s="67"/>
      <c r="EA29" s="85"/>
      <c r="EB29" s="44">
        <v>9300</v>
      </c>
      <c r="EC29" s="44" cm="1">
        <f t="array" aca="1" ref="EC29" ca="1">_FV(EE29,"Volume")</f>
        <v>4300</v>
      </c>
      <c r="EE29" s="2" t="e" vm="29">
        <v>#VALUE!</v>
      </c>
      <c r="EG29" s="10" cm="1">
        <f t="array" aca="1" ref="EG29" ca="1">_FV(EE29,"Ações em circulação",TRUE)</f>
        <v>42275080</v>
      </c>
      <c r="EH29" s="21">
        <f>VLOOKUP(BH29,Fundamentus!A:U,5,FALSE)</f>
        <v>0.95299999999999996</v>
      </c>
      <c r="EI29" s="2">
        <f t="shared" ca="1" si="30"/>
        <v>431179200.00000006</v>
      </c>
      <c r="EJ29" s="20">
        <v>74908070.400000006</v>
      </c>
      <c r="EK29" s="20">
        <f t="shared" ca="1" si="31"/>
        <v>75844421.280000016</v>
      </c>
      <c r="EM29" s="40" t="str">
        <f>IF(VLOOKUP(BH29,Fundamentus!A:U,3,FALSE)&lt;15,"Bom",IF(VLOOKUP(BH29,Fundamentus!A:U,3,FALSE)&gt;15,"Ruim","n/a"))</f>
        <v>Bom</v>
      </c>
      <c r="EN29" s="36" t="str">
        <f>IF(VLOOKUP(BH29,Fundamentus!A:U,4,FALSE)&lt;1,"Baixo",IF(VLOOKUP(BH29,Fundamentus!A:U,4,FALSE)&lt;1.5,"Moderado",IF(VLOOKUP(BH29,Fundamentus!A:U,4,FALSE)&gt;1.5,"Alto","n/a")))</f>
        <v>Moderado</v>
      </c>
      <c r="EO29" s="20" t="str">
        <f>IF(VLOOKUP(BH29,Fundamentus!A:U,8,FALSE)&lt;0,"Risco elevado",IF(VLOOKUP(BH29,Fundamentus!A:U,8,FALSE)&lt;1,"Saudável",IF(VLOOKUP(BH29,Fundamentus!A:U,8,FALSE)&lt;3,"Estável",IF(VLOOKUP(BH29,Fundamentus!A:U,8,FALSE)&gt;3,"Alerta","n/a"))))</f>
        <v>Alerta</v>
      </c>
      <c r="EP29" s="36" t="str">
        <f t="shared" si="32"/>
        <v>Ruim</v>
      </c>
      <c r="EQ29" s="20" t="str">
        <f>IF(VLOOKUP(BH29,Fundamentus!A:U,12,FALSE)&lt;2,"Subvalorizada",IF(VLOOKUP(BH29,Fundamentus!A:U,12,FALSE)&lt;6,"Muita barata",IF(VLOOKUP(BH29,Fundamentus!A:U,12,FALSE)&lt;6,"Barata",IF(VLOOKUP(BH29,Fundamentus!A:U,12,FALSE)&lt;8,"Atrativa",IF(VLOOKUP(BH29,Fundamentus!A:U,12,FALSE)&gt;8,"Supervalorizada","n/a")))))</f>
        <v>Muita barata</v>
      </c>
      <c r="ES29" s="20" t="str">
        <f>IF(VLOOKUP(BH29,Fundamentus!A:U,17,FALSE)&lt;0.1,"Fraco retorno",IF(VLOOKUP(BH29,Fundamentus!A:U,17,FALSE)&gt;0.1,"Bom retorno","n/a"))</f>
        <v>Bom retorno</v>
      </c>
      <c r="ET29" s="20" t="str">
        <f>IF(VLOOKUP(BH29,Fundamentus!A:U,16,FALSE)&lt;0.1,"Ineficiente",IF(VLOOKUP(BH29,Fundamentus!A:U,16,FALSE)&gt;0.1,"Eficiente","n/a"))</f>
        <v>Eficiente</v>
      </c>
      <c r="EU29" s="41" t="str">
        <f>IF(VLOOKUP(BH29,Fundamentus!A:U,16,FALSE)&lt;0.1,"Oper. Ineficiente",IF(VLOOKUP(BH29,Fundamentus!A:U,16,FALSE)&gt;0.1,"Oper.Eficiente","n/a"))</f>
        <v>Oper.Eficiente</v>
      </c>
      <c r="EV29" s="42">
        <f>VLOOKUP(BH29,Fundamentus!A:U,14,FALSE)</f>
        <v>0.1759</v>
      </c>
      <c r="EW29" s="20" t="str">
        <f>IF(VLOOKUP(BH29,Fundamentus!A:U,21,FALSE)&lt;0,"Negativo",IF(VLOOKUP(BH29,Fundamentus!A:U,21,FALSE)&lt;0.05,"Fraco",IF(VLOOKUP(BH29,Fundamentus!A:U,21,FALSE)&lt;0.1,"Bom",IF(VLOOKUP(BH29,Fundamentus!A:U,21,FALSE)&gt;0.1,"Muito bom","n/a"))))</f>
        <v>Muito bom</v>
      </c>
      <c r="EY29" s="37" t="str">
        <f>IF(VLOOKUP(BH29,Fundamentus!A:U,15,FALSE)&gt;1,"Bom",IF(VLOOKUP(BH29,Fundamentus!A:U,15,FALSE)&lt;1,"Ruim","n/a"))</f>
        <v>Bom</v>
      </c>
      <c r="EZ29" s="20" t="str">
        <f>IF(VLOOKUP(BH29,Fundamentus!A:U,20,FALSE)&lt;0.5,"Baixa",IF(VLOOKUP(BH29,Fundamentus!A:U,20,FALSE)&lt;1,"Moderada",IF(VLOOKUP(BH29,Fundamentus!A:U,20,FALSE)&lt;2,"Alerta",IF(VLOOKUP(BH29,Fundamentus!A:U,20,FALSE)&gt;2,"Alta","n/a"))))</f>
        <v>Baixa</v>
      </c>
    </row>
    <row r="30" spans="1:157" s="2" customFormat="1" ht="11.25" hidden="1" x14ac:dyDescent="0.2">
      <c r="A30" s="4">
        <v>19.52</v>
      </c>
      <c r="B30" s="4">
        <v>19.399999999999999</v>
      </c>
      <c r="C30" s="4">
        <v>19.38</v>
      </c>
      <c r="D30" s="4">
        <v>19.37</v>
      </c>
      <c r="E30" s="4">
        <v>18.59</v>
      </c>
      <c r="F30" s="4">
        <v>17.600000000000001</v>
      </c>
      <c r="G30" s="4">
        <v>17.55</v>
      </c>
      <c r="H30" s="4">
        <v>17.440000000000001</v>
      </c>
      <c r="I30" s="4">
        <v>17.95</v>
      </c>
      <c r="J30" s="4">
        <v>18.48</v>
      </c>
      <c r="K30" s="4">
        <v>18.489999999999998</v>
      </c>
      <c r="L30" s="4">
        <v>18.29</v>
      </c>
      <c r="M30" s="4">
        <v>17.829999999999998</v>
      </c>
      <c r="N30" s="4">
        <v>17.28</v>
      </c>
      <c r="O30" s="4">
        <v>17.38</v>
      </c>
      <c r="P30" s="4">
        <v>17.54</v>
      </c>
      <c r="Q30" s="4">
        <v>17.600000000000001</v>
      </c>
      <c r="R30" s="4">
        <v>17.899999999999999</v>
      </c>
      <c r="S30" s="4">
        <v>17.899999999999999</v>
      </c>
      <c r="T30" s="4">
        <v>17.89</v>
      </c>
      <c r="U30" s="4">
        <v>17.75</v>
      </c>
      <c r="V30" s="4">
        <v>18.89</v>
      </c>
      <c r="W30" s="4">
        <v>18.329999999999998</v>
      </c>
      <c r="X30" s="4">
        <v>18.04</v>
      </c>
      <c r="Y30" s="4">
        <v>17.62</v>
      </c>
      <c r="Z30" s="4">
        <v>17.98</v>
      </c>
      <c r="AA30" s="4">
        <v>18.100000000000001</v>
      </c>
      <c r="AB30" s="4">
        <v>18.079999999999998</v>
      </c>
      <c r="AC30" s="4">
        <v>16.66</v>
      </c>
      <c r="AD30" s="4">
        <v>16.670000000000002</v>
      </c>
      <c r="AE30" s="4">
        <v>16.91</v>
      </c>
      <c r="AF30" s="4">
        <v>16.55</v>
      </c>
      <c r="AG30" s="4">
        <v>16.64</v>
      </c>
      <c r="AH30" s="4">
        <v>16</v>
      </c>
      <c r="AI30" s="4">
        <v>15.9</v>
      </c>
      <c r="AJ30" s="4">
        <v>15.36</v>
      </c>
      <c r="AK30" s="4">
        <v>14.95</v>
      </c>
      <c r="AL30" s="4">
        <v>15.7</v>
      </c>
      <c r="AM30" s="4">
        <v>15.2</v>
      </c>
      <c r="AN30" s="4">
        <v>15.39</v>
      </c>
      <c r="AO30" s="4">
        <v>15.49</v>
      </c>
      <c r="AP30" s="4">
        <v>15.64</v>
      </c>
      <c r="AQ30" s="4">
        <v>15.86</v>
      </c>
      <c r="AR30" s="4">
        <v>15.55</v>
      </c>
      <c r="AS30" s="4">
        <v>15.5</v>
      </c>
      <c r="AT30" s="4">
        <v>15.98</v>
      </c>
      <c r="AU30" s="4">
        <v>16.605</v>
      </c>
      <c r="AV30" s="4">
        <v>17</v>
      </c>
      <c r="AW30" s="4">
        <v>15.98</v>
      </c>
      <c r="AX30" s="4">
        <v>16.52</v>
      </c>
      <c r="AY30" s="12">
        <v>16.399999999999999</v>
      </c>
      <c r="AZ30" s="12">
        <v>16.670000000000002</v>
      </c>
      <c r="BA30" s="12">
        <v>15.32</v>
      </c>
      <c r="BB30" s="18">
        <v>15.28</v>
      </c>
      <c r="BC30" s="63">
        <v>15.81</v>
      </c>
      <c r="BD30" s="63">
        <v>15.14</v>
      </c>
      <c r="BE30" s="63">
        <v>14.69</v>
      </c>
      <c r="BF30" s="63">
        <v>14.74</v>
      </c>
      <c r="BG30" s="91" cm="1">
        <f t="array" aca="1" ref="BG30" ca="1">_FV(EE30,"Preço")</f>
        <v>14.5</v>
      </c>
      <c r="BH30" s="93" t="s">
        <v>28</v>
      </c>
      <c r="BI30" s="32" cm="1">
        <f t="array" aca="1" ref="BI30" ca="1">_FV(EE30,"Beta")</f>
        <v>0.96609999999999996</v>
      </c>
      <c r="BJ30" s="96" cm="1">
        <f t="array" aca="1" ref="BJ30" ca="1">_FV(EE30,"Variação (%)",TRUE)</f>
        <v>-1.3605000000000001E-2</v>
      </c>
      <c r="BK30" s="49"/>
      <c r="BL30" s="49"/>
      <c r="BN30" s="32"/>
      <c r="BO30" s="20" cm="1">
        <f t="array" aca="1" ref="BO30" ca="1">_FV(EE30,"Baixo")</f>
        <v>14.45</v>
      </c>
      <c r="BP30" s="20" cm="1">
        <f t="array" aca="1" ref="BP30" ca="1">_FV(EE30,"Alto")</f>
        <v>14.7</v>
      </c>
      <c r="BQ30" s="32"/>
      <c r="BR30" s="74">
        <f ca="1">SQRT(22.5*(BG30/VLOOKUP(BH30,Fundamentus!A:U,3,FALSE))*(BG30/VLOOKUP(BH30,Fundamentus!A:U,4,FALSE)))</f>
        <v>37.691521198983231</v>
      </c>
      <c r="BT30" s="73">
        <f t="shared" ca="1" si="0"/>
        <v>-1.6282225237449131E-2</v>
      </c>
      <c r="BU30" s="36">
        <f t="shared" si="1"/>
        <v>-0.24743852459016394</v>
      </c>
      <c r="BV30" s="8"/>
      <c r="BW30" s="72">
        <f t="shared" si="2"/>
        <v>14.69</v>
      </c>
      <c r="BX30" s="72">
        <f t="shared" si="3"/>
        <v>16.970258620689652</v>
      </c>
      <c r="BY30" s="72">
        <f t="shared" si="4"/>
        <v>19.52</v>
      </c>
      <c r="BZ30" s="17"/>
      <c r="CA30" s="17"/>
      <c r="CB30" s="43">
        <f t="shared" si="5"/>
        <v>13.298753381587304</v>
      </c>
      <c r="CC30" s="18">
        <f t="shared" si="6"/>
        <v>14.195023430177571</v>
      </c>
      <c r="CD30" s="43">
        <f t="shared" si="7"/>
        <v>15.091293478767838</v>
      </c>
      <c r="CE30" s="98">
        <f t="shared" ca="1" si="8"/>
        <v>0.34027307986261868</v>
      </c>
      <c r="CF30" s="17"/>
      <c r="CG30" s="20">
        <f t="shared" si="9"/>
        <v>8.2833333333333332</v>
      </c>
      <c r="CH30" s="20">
        <f t="shared" si="10"/>
        <v>11.486666666666666</v>
      </c>
      <c r="CI30" s="20">
        <f t="shared" si="11"/>
        <v>13.113333333333333</v>
      </c>
      <c r="CJ30" s="49">
        <f t="shared" si="12"/>
        <v>16.316666666666666</v>
      </c>
      <c r="CK30" s="20">
        <f t="shared" si="13"/>
        <v>17.943333333333335</v>
      </c>
      <c r="CL30" s="20">
        <f t="shared" si="14"/>
        <v>21.146666666666668</v>
      </c>
      <c r="CM30" s="20">
        <f t="shared" si="15"/>
        <v>22.773333333333333</v>
      </c>
      <c r="CN30" s="2" cm="1">
        <f t="array" aca="1" ref="CN30" ca="1">MAX(_xlfn._xlws.FILTER(CG30:CM30,CG30:CM30&lt;BG30))</f>
        <v>13.113333333333333</v>
      </c>
      <c r="CO30" s="2" cm="1">
        <f t="array" aca="1" ref="CO30" ca="1">MIN(_xlfn._xlws.FILTER($CG30:$CM30,$CG30:$CM30&gt;BG30))</f>
        <v>16.316666666666666</v>
      </c>
      <c r="CP30" s="19">
        <f t="shared" ca="1" si="65"/>
        <v>0.24428063040162673</v>
      </c>
      <c r="CQ30" s="23">
        <f t="shared" ca="1" si="66"/>
        <v>-0.12214031520081337</v>
      </c>
      <c r="CR30" s="23">
        <f t="shared" ca="1" si="67"/>
        <v>-8.1426876800542239E-2</v>
      </c>
      <c r="CS30" s="23">
        <f t="shared" ca="1" si="68"/>
        <v>-4.8856126080325343E-2</v>
      </c>
      <c r="CT30" s="23">
        <f t="shared" ca="1" si="69"/>
        <v>-2.7142292266847414E-2</v>
      </c>
      <c r="CU30" s="23">
        <f t="shared" ca="1" si="70"/>
        <v>-1.4369448847154513E-2</v>
      </c>
      <c r="CV30" s="23">
        <f t="shared" ca="1" si="71"/>
        <v>-7.4024433455038407E-3</v>
      </c>
      <c r="CW30" s="23">
        <f t="shared" ca="1" si="72"/>
        <v>-3.758163544640411E-3</v>
      </c>
      <c r="CX30" s="24">
        <f t="shared" ca="1" si="73"/>
        <v>3.758163544640411E-3</v>
      </c>
      <c r="CY30" s="24">
        <f t="shared" ca="1" si="74"/>
        <v>7.4024433455038407E-3</v>
      </c>
      <c r="CZ30" s="24">
        <f t="shared" ca="1" si="75"/>
        <v>1.4369448847154513E-2</v>
      </c>
      <c r="DA30" s="24">
        <f t="shared" ca="1" si="76"/>
        <v>2.7142292266847414E-2</v>
      </c>
      <c r="DB30" s="24">
        <f t="shared" ca="1" si="77"/>
        <v>4.8856126080325343E-2</v>
      </c>
      <c r="DC30" s="24">
        <f t="shared" ca="1" si="78"/>
        <v>8.1426876800542239E-2</v>
      </c>
      <c r="DD30" s="24">
        <f t="shared" ca="1" si="79"/>
        <v>0.12214031520081337</v>
      </c>
      <c r="DF30" s="19" cm="1">
        <f t="array" aca="1" ref="DF30" ca="1">MAX(_xlfn._xlws.FILTER(CQ30:DD30,CQ30:DD30&lt;BJ30))</f>
        <v>-1.4369448847154513E-2</v>
      </c>
      <c r="DG30" s="19" cm="1">
        <f t="array" aca="1" ref="DG30" ca="1">MIN(_xlfn._xlws.FILTER(CQ30:DD30,CQ30:DD30&gt;BJ30))</f>
        <v>-7.4024433455038407E-3</v>
      </c>
      <c r="DH30" s="2" cm="1">
        <f t="array" aca="1" ref="DH30" ca="1">_FV(EE30,"Fechamento anterior",TRUE)</f>
        <v>14.7</v>
      </c>
      <c r="DI30" s="36">
        <f t="shared" ca="1" si="22"/>
        <v>0.10966069570389084</v>
      </c>
      <c r="DJ30" s="18">
        <f t="shared" ca="1" si="80"/>
        <v>14.488769101946827</v>
      </c>
      <c r="DK30" s="18">
        <f t="shared" ca="1" si="81"/>
        <v>14.591184082821092</v>
      </c>
      <c r="DL30" s="9"/>
      <c r="DM30" s="9"/>
      <c r="DN30" s="9"/>
      <c r="DO30" s="9"/>
      <c r="DP30" s="79">
        <v>6.4716326180196725E-3</v>
      </c>
      <c r="DQ30" s="79">
        <v>2.1882432891607215E-2</v>
      </c>
      <c r="DR30" s="79">
        <v>7.5746883086332661E-3</v>
      </c>
      <c r="DS30" s="79">
        <f t="shared" ca="1" si="25"/>
        <v>6.9670055016506725E-3</v>
      </c>
      <c r="DT30" s="47"/>
      <c r="DU30" s="43">
        <f t="shared" si="26"/>
        <v>0.44813502429513391</v>
      </c>
      <c r="DV30" s="83">
        <f t="shared" ca="1" si="27"/>
        <v>1.3921999999999999</v>
      </c>
      <c r="DW30" s="83">
        <f t="shared" ca="1" si="28"/>
        <v>2.3266</v>
      </c>
      <c r="DX30" s="83">
        <f t="shared" ca="1" si="29"/>
        <v>-0.93440000000000012</v>
      </c>
      <c r="DY30" s="67"/>
      <c r="DZ30" s="67"/>
      <c r="EA30" s="85"/>
      <c r="EB30" s="44">
        <v>47500</v>
      </c>
      <c r="EC30" s="44" cm="1">
        <f t="array" aca="1" ref="EC30" ca="1">_FV(EE30,"Volume")</f>
        <v>84700</v>
      </c>
      <c r="EE30" s="2" t="e" vm="30">
        <v>#VALUE!</v>
      </c>
      <c r="EG30" s="10" cm="1">
        <f t="array" aca="1" ref="EG30" ca="1">_FV(EE30,"Ações em circulação",TRUE)</f>
        <v>393096600</v>
      </c>
      <c r="EH30" s="21">
        <f>VLOOKUP(BH30,Fundamentus!A:U,5,FALSE)</f>
        <v>0</v>
      </c>
      <c r="EI30" s="2" t="e">
        <f t="shared" ca="1" si="30"/>
        <v>#DIV/0!</v>
      </c>
      <c r="EJ30" s="20" t="e">
        <v>#DIV/0!</v>
      </c>
      <c r="EK30" s="20" t="e">
        <f t="shared" ca="1" si="31"/>
        <v>#DIV/0!</v>
      </c>
      <c r="EM30" s="40" t="str">
        <f>IF(VLOOKUP(BH30,Fundamentus!A:U,3,FALSE)&lt;15,"Bom",IF(VLOOKUP(BH30,Fundamentus!A:U,3,FALSE)&gt;15,"Ruim","n/a"))</f>
        <v>Bom</v>
      </c>
      <c r="EN30" s="36" t="str">
        <f>IF(VLOOKUP(BH30,Fundamentus!A:U,4,FALSE)&lt;1,"Baixo",IF(VLOOKUP(BH30,Fundamentus!A:U,4,FALSE)&lt;1.5,"Moderado",IF(VLOOKUP(BH30,Fundamentus!A:U,4,FALSE)&gt;1.5,"Alto","n/a")))</f>
        <v>Baixo</v>
      </c>
      <c r="EO30" s="20" t="str">
        <f>IF(VLOOKUP(BH30,Fundamentus!A:U,8,FALSE)&lt;0,"Risco elevado",IF(VLOOKUP(BH30,Fundamentus!A:U,8,FALSE)&lt;1,"Saudável",IF(VLOOKUP(BH30,Fundamentus!A:U,8,FALSE)&lt;3,"Estável",IF(VLOOKUP(BH30,Fundamentus!A:U,8,FALSE)&gt;3,"Alerta","n/a"))))</f>
        <v>Alerta</v>
      </c>
      <c r="EP30" s="36" t="str">
        <f t="shared" si="32"/>
        <v>Ruim</v>
      </c>
      <c r="EQ30" s="20" t="str">
        <f>IF(VLOOKUP(BH30,Fundamentus!A:U,12,FALSE)&lt;2,"Subvalorizada",IF(VLOOKUP(BH30,Fundamentus!A:U,12,FALSE)&lt;6,"Muita barata",IF(VLOOKUP(BH30,Fundamentus!A:U,12,FALSE)&lt;6,"Barata",IF(VLOOKUP(BH30,Fundamentus!A:U,12,FALSE)&lt;8,"Atrativa",IF(VLOOKUP(BH30,Fundamentus!A:U,12,FALSE)&gt;8,"Supervalorizada","n/a")))))</f>
        <v>Subvalorizada</v>
      </c>
      <c r="ES30" s="20" t="str">
        <f>IF(VLOOKUP(BH30,Fundamentus!A:U,17,FALSE)&lt;0.1,"Fraco retorno",IF(VLOOKUP(BH30,Fundamentus!A:U,17,FALSE)&gt;0.1,"Bom retorno","n/a"))</f>
        <v>Bom retorno</v>
      </c>
      <c r="ET30" s="20" t="str">
        <f>IF(VLOOKUP(BH30,Fundamentus!A:U,16,FALSE)&lt;0.1,"Ineficiente",IF(VLOOKUP(BH30,Fundamentus!A:U,16,FALSE)&gt;0.1,"Eficiente","n/a"))</f>
        <v>Ineficiente</v>
      </c>
      <c r="EU30" s="41" t="str">
        <f>IF(VLOOKUP(BH30,Fundamentus!A:U,16,FALSE)&lt;0.1,"Oper. Ineficiente",IF(VLOOKUP(BH30,Fundamentus!A:U,16,FALSE)&gt;0.1,"Oper.Eficiente","n/a"))</f>
        <v>Oper. Ineficiente</v>
      </c>
      <c r="EV30" s="42">
        <f>VLOOKUP(BH30,Fundamentus!A:U,14,FALSE)</f>
        <v>0</v>
      </c>
      <c r="EW30" s="20" t="str">
        <f>IF(VLOOKUP(BH30,Fundamentus!A:U,21,FALSE)&lt;0,"Negativo",IF(VLOOKUP(BH30,Fundamentus!A:U,21,FALSE)&lt;0.05,"Fraco",IF(VLOOKUP(BH30,Fundamentus!A:U,21,FALSE)&lt;0.1,"Bom",IF(VLOOKUP(BH30,Fundamentus!A:U,21,FALSE)&gt;0.1,"Muito bom","n/a"))))</f>
        <v>Fraco</v>
      </c>
      <c r="EY30" s="37" t="str">
        <f>IF(VLOOKUP(BH30,Fundamentus!A:U,15,FALSE)&gt;1,"Bom",IF(VLOOKUP(BH30,Fundamentus!A:U,15,FALSE)&lt;1,"Ruim","n/a"))</f>
        <v>Bom</v>
      </c>
      <c r="EZ30" s="20" t="str">
        <f>IF(VLOOKUP(BH30,Fundamentus!A:U,20,FALSE)&lt;0.5,"Baixa",IF(VLOOKUP(BH30,Fundamentus!A:U,20,FALSE)&lt;1,"Moderada",IF(VLOOKUP(BH30,Fundamentus!A:U,20,FALSE)&lt;2,"Alerta",IF(VLOOKUP(BH30,Fundamentus!A:U,20,FALSE)&gt;2,"Alta","n/a"))))</f>
        <v>Baixa</v>
      </c>
    </row>
    <row r="31" spans="1:157" s="2" customFormat="1" ht="11.25" hidden="1" x14ac:dyDescent="0.2">
      <c r="A31" s="4">
        <v>1.4</v>
      </c>
      <c r="B31" s="4">
        <v>1.3</v>
      </c>
      <c r="C31" s="4">
        <v>1.21</v>
      </c>
      <c r="D31" s="4">
        <v>1.29</v>
      </c>
      <c r="E31" s="4">
        <v>1.21</v>
      </c>
      <c r="F31" s="4">
        <v>1.2</v>
      </c>
      <c r="G31" s="4">
        <v>1.17</v>
      </c>
      <c r="H31" s="4">
        <v>1.19</v>
      </c>
      <c r="I31" s="4">
        <v>1.1399999999999999</v>
      </c>
      <c r="J31" s="4">
        <v>1.1499999999999999</v>
      </c>
      <c r="K31" s="4">
        <v>1.19</v>
      </c>
      <c r="L31" s="4">
        <v>1.1599999999999999</v>
      </c>
      <c r="M31" s="4">
        <v>1.17</v>
      </c>
      <c r="N31" s="4">
        <v>1.1599999999999999</v>
      </c>
      <c r="O31" s="4">
        <v>1.2</v>
      </c>
      <c r="P31" s="4">
        <v>1.1499999999999999</v>
      </c>
      <c r="Q31" s="4">
        <v>1.17</v>
      </c>
      <c r="R31" s="4">
        <v>1.19</v>
      </c>
      <c r="S31" s="4">
        <v>1.18</v>
      </c>
      <c r="T31" s="4">
        <v>1.19</v>
      </c>
      <c r="U31" s="4">
        <v>1.1599999999999999</v>
      </c>
      <c r="V31" s="4">
        <v>1.18</v>
      </c>
      <c r="W31" s="4">
        <v>1.18</v>
      </c>
      <c r="X31" s="4">
        <v>1.17</v>
      </c>
      <c r="Y31" s="4">
        <v>1.28</v>
      </c>
      <c r="Z31" s="4">
        <v>1.28</v>
      </c>
      <c r="AA31" s="4">
        <v>1.3</v>
      </c>
      <c r="AB31" s="4">
        <v>1.29</v>
      </c>
      <c r="AC31" s="4">
        <v>1.34</v>
      </c>
      <c r="AD31" s="4">
        <v>1.32</v>
      </c>
      <c r="AE31" s="4">
        <v>1.25</v>
      </c>
      <c r="AF31" s="4">
        <v>1.32</v>
      </c>
      <c r="AG31" s="4">
        <v>1.29</v>
      </c>
      <c r="AH31" s="4">
        <v>1.2</v>
      </c>
      <c r="AI31" s="4">
        <v>1.1499999999999999</v>
      </c>
      <c r="AJ31" s="4">
        <v>1.1499999999999999</v>
      </c>
      <c r="AK31" s="4">
        <v>1.1399999999999999</v>
      </c>
      <c r="AL31" s="4">
        <v>1.21</v>
      </c>
      <c r="AM31" s="4">
        <v>1.19</v>
      </c>
      <c r="AN31" s="4">
        <v>1.2</v>
      </c>
      <c r="AO31" s="4">
        <v>1.19</v>
      </c>
      <c r="AP31" s="4">
        <v>1.2</v>
      </c>
      <c r="AQ31" s="4">
        <v>1.1499999999999999</v>
      </c>
      <c r="AR31" s="4">
        <v>1.17</v>
      </c>
      <c r="AS31" s="4">
        <v>1.18</v>
      </c>
      <c r="AT31" s="4">
        <v>1.2</v>
      </c>
      <c r="AU31" s="4">
        <v>1.21</v>
      </c>
      <c r="AV31" s="4">
        <v>1.27</v>
      </c>
      <c r="AW31" s="4">
        <v>1.23</v>
      </c>
      <c r="AX31" s="4">
        <v>1.23</v>
      </c>
      <c r="AY31" s="12">
        <v>1.17</v>
      </c>
      <c r="AZ31" s="12">
        <v>1.22</v>
      </c>
      <c r="BA31" s="12">
        <v>1.22</v>
      </c>
      <c r="BB31" s="18">
        <v>1.23</v>
      </c>
      <c r="BC31" s="63">
        <v>1.24</v>
      </c>
      <c r="BD31" s="63">
        <v>1.23</v>
      </c>
      <c r="BE31" s="63">
        <v>1.24</v>
      </c>
      <c r="BF31" s="63">
        <v>1.22</v>
      </c>
      <c r="BG31" s="91" cm="1">
        <f t="array" aca="1" ref="BG31" ca="1">_FV(EE31,"Preço")</f>
        <v>1.23</v>
      </c>
      <c r="BH31" s="93" t="s">
        <v>29</v>
      </c>
      <c r="BI31" s="32" cm="1">
        <f t="array" aca="1" ref="BI31" ca="1">_FV(EE31,"Beta")</f>
        <v>0.9889</v>
      </c>
      <c r="BJ31" s="96" cm="1">
        <f t="array" aca="1" ref="BJ31" ca="1">_FV(EE31,"Variação (%)",TRUE)</f>
        <v>0</v>
      </c>
      <c r="BK31" s="49"/>
      <c r="BL31" s="49"/>
      <c r="BN31" s="32"/>
      <c r="BO31" s="20" cm="1">
        <f t="array" aca="1" ref="BO31" ca="1">_FV(EE31,"Baixo")</f>
        <v>1.2</v>
      </c>
      <c r="BP31" s="20" cm="1">
        <f t="array" aca="1" ref="BP31" ca="1">_FV(EE31,"Alto")</f>
        <v>1.24</v>
      </c>
      <c r="BQ31" s="32"/>
      <c r="BR31" s="74" t="e">
        <f ca="1">SQRT(22.5*(BG31/VLOOKUP(BH31,Fundamentus!A:U,3,FALSE))*(BG31/VLOOKUP(BH31,Fundamentus!A:U,4,FALSE)))</f>
        <v>#NUM!</v>
      </c>
      <c r="BT31" s="73">
        <f t="shared" ca="1" si="0"/>
        <v>8.1967213114754172E-3</v>
      </c>
      <c r="BU31" s="36">
        <f t="shared" si="1"/>
        <v>-0.11428571428571424</v>
      </c>
      <c r="BV31" s="8"/>
      <c r="BW31" s="72">
        <f t="shared" si="2"/>
        <v>1.1399999999999999</v>
      </c>
      <c r="BX31" s="72">
        <f t="shared" si="3"/>
        <v>1.2141379310344829</v>
      </c>
      <c r="BY31" s="72">
        <f t="shared" si="4"/>
        <v>1.4</v>
      </c>
      <c r="BZ31" s="17"/>
      <c r="CA31" s="17"/>
      <c r="CB31" s="43">
        <f t="shared" si="5"/>
        <v>1.2037730147548786</v>
      </c>
      <c r="CC31" s="18">
        <f t="shared" si="6"/>
        <v>1.2203561387066557</v>
      </c>
      <c r="CD31" s="43">
        <f t="shared" si="7"/>
        <v>1.2369392626584328</v>
      </c>
      <c r="CE31" s="98">
        <f t="shared" ca="1" si="8"/>
        <v>0.58154671709553341</v>
      </c>
      <c r="CF31" s="17"/>
      <c r="CG31" s="20">
        <f t="shared" si="9"/>
        <v>0.84666666666666646</v>
      </c>
      <c r="CH31" s="20">
        <f t="shared" si="10"/>
        <v>0.99333333333333318</v>
      </c>
      <c r="CI31" s="20">
        <f t="shared" si="11"/>
        <v>1.1066666666666665</v>
      </c>
      <c r="CJ31" s="49">
        <f t="shared" si="12"/>
        <v>1.2533333333333332</v>
      </c>
      <c r="CK31" s="20">
        <f t="shared" si="13"/>
        <v>1.3666666666666665</v>
      </c>
      <c r="CL31" s="20">
        <f t="shared" si="14"/>
        <v>1.5133333333333332</v>
      </c>
      <c r="CM31" s="20">
        <f t="shared" si="15"/>
        <v>1.6266666666666665</v>
      </c>
      <c r="CN31" s="2" cm="1">
        <f t="array" aca="1" ref="CN31" ca="1">MAX(_xlfn._xlws.FILTER(CG31:CM31,CG31:CM31&lt;BG31))</f>
        <v>1.1066666666666665</v>
      </c>
      <c r="CO31" s="2" cm="1">
        <f t="array" aca="1" ref="CO31" ca="1">MIN(_xlfn._xlws.FILTER($CG31:$CM31,$CG31:$CM31&gt;BG31))</f>
        <v>1.2533333333333332</v>
      </c>
      <c r="CP31" s="19">
        <f t="shared" ca="1" si="65"/>
        <v>0.1325301204819278</v>
      </c>
      <c r="CQ31" s="23">
        <f t="shared" ca="1" si="66"/>
        <v>-6.6265060240963902E-2</v>
      </c>
      <c r="CR31" s="23">
        <f t="shared" ca="1" si="67"/>
        <v>-4.4176706827309266E-2</v>
      </c>
      <c r="CS31" s="23">
        <f t="shared" ca="1" si="68"/>
        <v>-2.6506024096385562E-2</v>
      </c>
      <c r="CT31" s="23">
        <f t="shared" ca="1" si="69"/>
        <v>-1.4725568942436422E-2</v>
      </c>
      <c r="CU31" s="23">
        <f t="shared" ca="1" si="70"/>
        <v>-7.7958894401134E-3</v>
      </c>
      <c r="CV31" s="23">
        <f t="shared" ca="1" si="71"/>
        <v>-4.0160642570281156E-3</v>
      </c>
      <c r="CW31" s="23">
        <f t="shared" ca="1" si="72"/>
        <v>-2.0389249304911968E-3</v>
      </c>
      <c r="CX31" s="24">
        <f t="shared" ca="1" si="73"/>
        <v>2.0389249304911968E-3</v>
      </c>
      <c r="CY31" s="24">
        <f t="shared" ca="1" si="74"/>
        <v>4.0160642570281156E-3</v>
      </c>
      <c r="CZ31" s="24">
        <f t="shared" ca="1" si="75"/>
        <v>7.7958894401134E-3</v>
      </c>
      <c r="DA31" s="24">
        <f t="shared" ca="1" si="76"/>
        <v>1.4725568942436422E-2</v>
      </c>
      <c r="DB31" s="24">
        <f t="shared" ca="1" si="77"/>
        <v>2.6506024096385562E-2</v>
      </c>
      <c r="DC31" s="24">
        <f t="shared" ca="1" si="78"/>
        <v>4.4176706827309266E-2</v>
      </c>
      <c r="DD31" s="24">
        <f t="shared" ca="1" si="79"/>
        <v>6.6265060240963902E-2</v>
      </c>
      <c r="DF31" s="19" cm="1">
        <f t="array" aca="1" ref="DF31" ca="1">MAX(_xlfn._xlws.FILTER(CQ31:DD31,CQ31:DD31&lt;BJ31))</f>
        <v>-2.0389249304911968E-3</v>
      </c>
      <c r="DG31" s="19" cm="1">
        <f t="array" aca="1" ref="DG31" ca="1">MIN(_xlfn._xlws.FILTER(CQ31:DD31,CQ31:DD31&gt;BJ31))</f>
        <v>2.0389249304911968E-3</v>
      </c>
      <c r="DH31" s="2" cm="1">
        <f t="array" aca="1" ref="DH31" ca="1">_FV(EE31,"Fechamento anterior",TRUE)</f>
        <v>1.23</v>
      </c>
      <c r="DI31" s="36">
        <f t="shared" ca="1" si="22"/>
        <v>0.5</v>
      </c>
      <c r="DJ31" s="18">
        <f t="shared" ca="1" si="80"/>
        <v>1.2274921223354958</v>
      </c>
      <c r="DK31" s="18">
        <f t="shared" ca="1" si="81"/>
        <v>1.2325078776645042</v>
      </c>
      <c r="DL31" s="9"/>
      <c r="DM31" s="9"/>
      <c r="DN31" s="9"/>
      <c r="DO31" s="9"/>
      <c r="DP31" s="79">
        <v>2.1739130434782605E-3</v>
      </c>
      <c r="DQ31" s="79">
        <v>1.1775362318840576E-2</v>
      </c>
      <c r="DR31" s="79">
        <v>1.4627285513361458E-2</v>
      </c>
      <c r="DS31" s="79">
        <f t="shared" ca="1" si="25"/>
        <v>4.0778498609823936E-3</v>
      </c>
      <c r="DT31" s="47"/>
      <c r="DU31" s="43">
        <f t="shared" si="26"/>
        <v>8.2915619758885065E-3</v>
      </c>
      <c r="DV31" s="83">
        <f t="shared" ca="1" si="27"/>
        <v>1.415</v>
      </c>
      <c r="DW31" s="83">
        <f t="shared" ca="1" si="28"/>
        <v>0.9889</v>
      </c>
      <c r="DX31" s="83">
        <f t="shared" ca="1" si="29"/>
        <v>0.42610000000000003</v>
      </c>
      <c r="DY31" s="67"/>
      <c r="DZ31" s="67"/>
      <c r="EA31" s="85"/>
      <c r="EB31" s="44">
        <v>15100</v>
      </c>
      <c r="EC31" s="44" cm="1">
        <f t="array" aca="1" ref="EC31" ca="1">_FV(EE31,"Volume")</f>
        <v>400</v>
      </c>
      <c r="EE31" s="2" t="e" vm="31">
        <v>#VALUE!</v>
      </c>
      <c r="EG31" s="10" cm="1">
        <f t="array" aca="1" ref="EG31" ca="1">_FV(EE31,"Ações em circulação",TRUE)</f>
        <v>11900000</v>
      </c>
      <c r="EH31" s="21">
        <f>VLOOKUP(BH31,Fundamentus!A:U,5,FALSE)</f>
        <v>0.49</v>
      </c>
      <c r="EI31" s="2">
        <f t="shared" ca="1" si="30"/>
        <v>29871428.571428571</v>
      </c>
      <c r="EJ31" s="20">
        <v>1934745.7142857143</v>
      </c>
      <c r="EK31" s="20">
        <f t="shared" ca="1" si="31"/>
        <v>1950604.2857142857</v>
      </c>
      <c r="EM31" s="40" t="str">
        <f>IF(VLOOKUP(BH31,Fundamentus!A:U,3,FALSE)&lt;15,"Bom",IF(VLOOKUP(BH31,Fundamentus!A:U,3,FALSE)&gt;15,"Ruim","n/a"))</f>
        <v>Bom</v>
      </c>
      <c r="EN31" s="36" t="str">
        <f>IF(VLOOKUP(BH31,Fundamentus!A:U,4,FALSE)&lt;1,"Baixo",IF(VLOOKUP(BH31,Fundamentus!A:U,4,FALSE)&lt;1.5,"Moderado",IF(VLOOKUP(BH31,Fundamentus!A:U,4,FALSE)&gt;1.5,"Alto","n/a")))</f>
        <v>Baixo</v>
      </c>
      <c r="EO31" s="20" t="str">
        <f>IF(VLOOKUP(BH31,Fundamentus!A:U,8,FALSE)&lt;0,"Risco elevado",IF(VLOOKUP(BH31,Fundamentus!A:U,8,FALSE)&lt;1,"Saudável",IF(VLOOKUP(BH31,Fundamentus!A:U,8,FALSE)&lt;3,"Estável",IF(VLOOKUP(BH31,Fundamentus!A:U,8,FALSE)&gt;3,"Alerta","n/a"))))</f>
        <v>Saudável</v>
      </c>
      <c r="EP31" s="36" t="str">
        <f t="shared" si="32"/>
        <v>Ruim</v>
      </c>
      <c r="EQ31" s="20" t="str">
        <f>IF(VLOOKUP(BH31,Fundamentus!A:U,12,FALSE)&lt;2,"Subvalorizada",IF(VLOOKUP(BH31,Fundamentus!A:U,12,FALSE)&lt;6,"Muita barata",IF(VLOOKUP(BH31,Fundamentus!A:U,12,FALSE)&lt;6,"Barata",IF(VLOOKUP(BH31,Fundamentus!A:U,12,FALSE)&lt;8,"Atrativa",IF(VLOOKUP(BH31,Fundamentus!A:U,12,FALSE)&gt;8,"Supervalorizada","n/a")))))</f>
        <v>Supervalorizada</v>
      </c>
      <c r="ES31" s="20" t="str">
        <f>IF(VLOOKUP(BH31,Fundamentus!A:U,17,FALSE)&lt;0.1,"Fraco retorno",IF(VLOOKUP(BH31,Fundamentus!A:U,17,FALSE)&gt;0.1,"Bom retorno","n/a"))</f>
        <v>Fraco retorno</v>
      </c>
      <c r="ET31" s="20" t="str">
        <f>IF(VLOOKUP(BH31,Fundamentus!A:U,16,FALSE)&lt;0.1,"Ineficiente",IF(VLOOKUP(BH31,Fundamentus!A:U,16,FALSE)&gt;0.1,"Eficiente","n/a"))</f>
        <v>Ineficiente</v>
      </c>
      <c r="EU31" s="41" t="str">
        <f>IF(VLOOKUP(BH31,Fundamentus!A:U,16,FALSE)&lt;0.1,"Oper. Ineficiente",IF(VLOOKUP(BH31,Fundamentus!A:U,16,FALSE)&gt;0.1,"Oper.Eficiente","n/a"))</f>
        <v>Oper. Ineficiente</v>
      </c>
      <c r="EV31" s="42">
        <f>VLOOKUP(BH31,Fundamentus!A:U,14,FALSE)</f>
        <v>6.5299999999999997E-2</v>
      </c>
      <c r="EW31" s="20" t="str">
        <f>IF(VLOOKUP(BH31,Fundamentus!A:U,21,FALSE)&lt;0,"Negativo",IF(VLOOKUP(BH31,Fundamentus!A:U,21,FALSE)&lt;0.05,"Fraco",IF(VLOOKUP(BH31,Fundamentus!A:U,21,FALSE)&lt;0.1,"Bom",IF(VLOOKUP(BH31,Fundamentus!A:U,21,FALSE)&gt;0.1,"Muito bom","n/a"))))</f>
        <v>Negativo</v>
      </c>
      <c r="EY31" s="37" t="str">
        <f>IF(VLOOKUP(BH31,Fundamentus!A:U,15,FALSE)&gt;1,"Bom",IF(VLOOKUP(BH31,Fundamentus!A:U,15,FALSE)&lt;1,"Ruim","n/a"))</f>
        <v>Bom</v>
      </c>
      <c r="EZ31" s="20" t="str">
        <f>IF(VLOOKUP(BH31,Fundamentus!A:U,20,FALSE)&lt;0.5,"Baixa",IF(VLOOKUP(BH31,Fundamentus!A:U,20,FALSE)&lt;1,"Moderada",IF(VLOOKUP(BH31,Fundamentus!A:U,20,FALSE)&lt;2,"Alerta",IF(VLOOKUP(BH31,Fundamentus!A:U,20,FALSE)&gt;2,"Alta","n/a"))))</f>
        <v>Baixa</v>
      </c>
    </row>
    <row r="32" spans="1:157" s="2" customFormat="1" ht="11.25" hidden="1" x14ac:dyDescent="0.2">
      <c r="A32" s="4">
        <v>14</v>
      </c>
      <c r="B32" s="4">
        <v>13.48</v>
      </c>
      <c r="C32" s="4">
        <v>13.07</v>
      </c>
      <c r="D32" s="4">
        <v>13.22</v>
      </c>
      <c r="E32" s="4">
        <v>13.11</v>
      </c>
      <c r="F32" s="4">
        <v>12.88</v>
      </c>
      <c r="G32" s="4">
        <v>12.81</v>
      </c>
      <c r="H32" s="4">
        <v>13.06</v>
      </c>
      <c r="I32" s="4">
        <v>13.05</v>
      </c>
      <c r="J32" s="4">
        <v>12.88</v>
      </c>
      <c r="K32" s="4">
        <v>13.48</v>
      </c>
      <c r="L32" s="4">
        <v>13.74</v>
      </c>
      <c r="M32" s="4">
        <v>13.39</v>
      </c>
      <c r="N32" s="4">
        <v>13.42</v>
      </c>
      <c r="O32" s="4">
        <v>13.61</v>
      </c>
      <c r="P32" s="4">
        <v>14.28</v>
      </c>
      <c r="Q32" s="4">
        <v>14.85</v>
      </c>
      <c r="R32" s="4">
        <v>14.94</v>
      </c>
      <c r="S32" s="4">
        <v>14.87</v>
      </c>
      <c r="T32" s="4">
        <v>14.67</v>
      </c>
      <c r="U32" s="4">
        <v>14.12</v>
      </c>
      <c r="V32" s="4">
        <v>13.76</v>
      </c>
      <c r="W32" s="4">
        <v>13.64</v>
      </c>
      <c r="X32" s="4">
        <v>13.65</v>
      </c>
      <c r="Y32" s="4">
        <v>13.43</v>
      </c>
      <c r="Z32" s="4">
        <v>13.63</v>
      </c>
      <c r="AA32" s="4">
        <v>12.8</v>
      </c>
      <c r="AB32" s="4">
        <v>12.65</v>
      </c>
      <c r="AC32" s="4">
        <v>12.2</v>
      </c>
      <c r="AD32" s="4">
        <v>12.43</v>
      </c>
      <c r="AE32" s="4">
        <v>11.89</v>
      </c>
      <c r="AF32" s="4">
        <v>12.05</v>
      </c>
      <c r="AG32" s="4">
        <v>11.56</v>
      </c>
      <c r="AH32" s="4">
        <v>11.29</v>
      </c>
      <c r="AI32" s="4">
        <v>11.2</v>
      </c>
      <c r="AJ32" s="4">
        <v>11.11</v>
      </c>
      <c r="AK32" s="4">
        <v>11.32</v>
      </c>
      <c r="AL32" s="4">
        <v>11.82</v>
      </c>
      <c r="AM32" s="4">
        <v>11.75</v>
      </c>
      <c r="AN32" s="4">
        <v>12.39</v>
      </c>
      <c r="AO32" s="4">
        <v>12.51</v>
      </c>
      <c r="AP32" s="4">
        <v>12.59</v>
      </c>
      <c r="AQ32" s="4">
        <v>12.52</v>
      </c>
      <c r="AR32" s="4">
        <v>11.95</v>
      </c>
      <c r="AS32" s="4">
        <v>12.25</v>
      </c>
      <c r="AT32" s="4">
        <v>12.5</v>
      </c>
      <c r="AU32" s="4">
        <v>12.654999999999999</v>
      </c>
      <c r="AV32" s="4">
        <v>13.02</v>
      </c>
      <c r="AW32" s="4">
        <v>12.49</v>
      </c>
      <c r="AX32" s="4">
        <v>12.47</v>
      </c>
      <c r="AY32" s="12">
        <v>12.8</v>
      </c>
      <c r="AZ32" s="12">
        <v>13.26</v>
      </c>
      <c r="BA32" s="12">
        <v>14.09</v>
      </c>
      <c r="BB32" s="18">
        <v>14.2</v>
      </c>
      <c r="BC32" s="63">
        <v>14.47</v>
      </c>
      <c r="BD32" s="63">
        <v>14.22</v>
      </c>
      <c r="BE32" s="63">
        <v>14.07</v>
      </c>
      <c r="BF32" s="63">
        <v>13.55</v>
      </c>
      <c r="BG32" s="91" cm="1">
        <f t="array" aca="1" ref="BG32" ca="1">_FV(EE32,"Preço")</f>
        <v>14.13</v>
      </c>
      <c r="BH32" s="93" t="s">
        <v>30</v>
      </c>
      <c r="BI32" s="32" cm="1">
        <f t="array" aca="1" ref="BI32" ca="1">_FV(EE32,"Beta")</f>
        <v>1.0891</v>
      </c>
      <c r="BJ32" s="96" cm="1">
        <f t="array" aca="1" ref="BJ32" ca="1">_FV(EE32,"Variação (%)",TRUE)</f>
        <v>-3.5260000000000001E-3</v>
      </c>
      <c r="BK32" s="49"/>
      <c r="BL32" s="49"/>
      <c r="BN32" s="32"/>
      <c r="BO32" s="20" cm="1">
        <f t="array" aca="1" ref="BO32" ca="1">_FV(EE32,"Baixo")</f>
        <v>14.01</v>
      </c>
      <c r="BP32" s="20" cm="1">
        <f t="array" aca="1" ref="BP32" ca="1">_FV(EE32,"Alto")</f>
        <v>14.35</v>
      </c>
      <c r="BQ32" s="32"/>
      <c r="BR32" s="74">
        <f ca="1">SQRT(22.5*(BG32/VLOOKUP(BH32,Fundamentus!A:U,3,FALSE))*(BG32/VLOOKUP(BH32,Fundamentus!A:U,4,FALSE)))</f>
        <v>23.241025756881136</v>
      </c>
      <c r="BT32" s="73">
        <f t="shared" ca="1" si="0"/>
        <v>4.2804428044280446E-2</v>
      </c>
      <c r="BU32" s="36">
        <f t="shared" si="1"/>
        <v>5.0000000000000201E-3</v>
      </c>
      <c r="BV32" s="8"/>
      <c r="BW32" s="72">
        <f t="shared" si="2"/>
        <v>11.11</v>
      </c>
      <c r="BX32" s="72">
        <f t="shared" si="3"/>
        <v>13.053706896551727</v>
      </c>
      <c r="BY32" s="72">
        <f t="shared" si="4"/>
        <v>14.94</v>
      </c>
      <c r="BZ32" s="17"/>
      <c r="CA32" s="17"/>
      <c r="CB32" s="43">
        <f t="shared" si="5"/>
        <v>12.700843841523604</v>
      </c>
      <c r="CC32" s="18">
        <f t="shared" si="6"/>
        <v>13.373655107778859</v>
      </c>
      <c r="CD32" s="43">
        <f t="shared" si="7"/>
        <v>14.046466374034114</v>
      </c>
      <c r="CE32" s="98">
        <f t="shared" ca="1" si="8"/>
        <v>1.1241561046247326</v>
      </c>
      <c r="CF32" s="17"/>
      <c r="CG32" s="20">
        <f t="shared" si="9"/>
        <v>7.6299999999999955</v>
      </c>
      <c r="CH32" s="20">
        <f t="shared" si="10"/>
        <v>9.3699999999999974</v>
      </c>
      <c r="CI32" s="20">
        <f t="shared" si="11"/>
        <v>11.459999999999996</v>
      </c>
      <c r="CJ32" s="49">
        <f t="shared" si="12"/>
        <v>13.199999999999998</v>
      </c>
      <c r="CK32" s="20">
        <f t="shared" si="13"/>
        <v>15.289999999999996</v>
      </c>
      <c r="CL32" s="20">
        <f t="shared" si="14"/>
        <v>17.029999999999998</v>
      </c>
      <c r="CM32" s="20">
        <f t="shared" si="15"/>
        <v>19.119999999999997</v>
      </c>
      <c r="CN32" s="2" cm="1">
        <f t="array" aca="1" ref="CN32" ca="1">MAX(_xlfn._xlws.FILTER(CG32:CM32,CG32:CM32&lt;BG32))</f>
        <v>13.199999999999998</v>
      </c>
      <c r="CO32" s="2" cm="1">
        <f t="array" aca="1" ref="CO32" ca="1">MIN(_xlfn._xlws.FILTER($CG32:$CM32,$CG32:$CM32&gt;BG32))</f>
        <v>15.289999999999996</v>
      </c>
      <c r="CP32" s="19">
        <f t="shared" ca="1" si="65"/>
        <v>0.15833333333333321</v>
      </c>
      <c r="CQ32" s="23">
        <f t="shared" ca="1" si="66"/>
        <v>-7.9166666666666607E-2</v>
      </c>
      <c r="CR32" s="23">
        <f t="shared" ca="1" si="67"/>
        <v>-5.2777777777777736E-2</v>
      </c>
      <c r="CS32" s="23">
        <f t="shared" ca="1" si="68"/>
        <v>-3.1666666666666642E-2</v>
      </c>
      <c r="CT32" s="23">
        <f t="shared" ca="1" si="69"/>
        <v>-1.759259259259258E-2</v>
      </c>
      <c r="CU32" s="23">
        <f t="shared" ca="1" si="70"/>
        <v>-9.3137254901960714E-3</v>
      </c>
      <c r="CV32" s="23">
        <f t="shared" ca="1" si="71"/>
        <v>-4.7979797979797942E-3</v>
      </c>
      <c r="CW32" s="23">
        <f t="shared" ca="1" si="72"/>
        <v>-2.4358974358974343E-3</v>
      </c>
      <c r="CX32" s="24">
        <f t="shared" ca="1" si="73"/>
        <v>2.4358974358974343E-3</v>
      </c>
      <c r="CY32" s="24">
        <f t="shared" ca="1" si="74"/>
        <v>4.7979797979797942E-3</v>
      </c>
      <c r="CZ32" s="24">
        <f t="shared" ca="1" si="75"/>
        <v>9.3137254901960714E-3</v>
      </c>
      <c r="DA32" s="24">
        <f t="shared" ca="1" si="76"/>
        <v>1.759259259259258E-2</v>
      </c>
      <c r="DB32" s="24">
        <f t="shared" ca="1" si="77"/>
        <v>3.1666666666666642E-2</v>
      </c>
      <c r="DC32" s="24">
        <f t="shared" ca="1" si="78"/>
        <v>5.2777777777777736E-2</v>
      </c>
      <c r="DD32" s="24">
        <f t="shared" ca="1" si="79"/>
        <v>7.9166666666666607E-2</v>
      </c>
      <c r="DF32" s="19" cm="1">
        <f t="array" aca="1" ref="DF32" ca="1">MAX(_xlfn._xlws.FILTER(CQ32:DD32,CQ32:DD32&lt;BJ32))</f>
        <v>-4.7979797979797942E-3</v>
      </c>
      <c r="DG32" s="19" cm="1">
        <f t="array" aca="1" ref="DG32" ca="1">MIN(_xlfn._xlws.FILTER(CQ32:DD32,CQ32:DD32&gt;BJ32))</f>
        <v>-2.4358974358974343E-3</v>
      </c>
      <c r="DH32" s="2" cm="1">
        <f t="array" aca="1" ref="DH32" ca="1">_FV(EE32,"Fechamento anterior",TRUE)</f>
        <v>14.18</v>
      </c>
      <c r="DI32" s="36">
        <f t="shared" ca="1" si="22"/>
        <v>0.5384599324475251</v>
      </c>
      <c r="DJ32" s="18">
        <f t="shared" ca="1" si="80"/>
        <v>14.111964646464646</v>
      </c>
      <c r="DK32" s="18">
        <f t="shared" ca="1" si="81"/>
        <v>14.145458974358974</v>
      </c>
      <c r="DL32" s="9"/>
      <c r="DM32" s="9"/>
      <c r="DN32" s="9"/>
      <c r="DO32" s="9"/>
      <c r="DP32" s="79">
        <v>8.7733470416880861E-3</v>
      </c>
      <c r="DQ32" s="79">
        <v>2.5031647503557619E-3</v>
      </c>
      <c r="DR32" s="79">
        <v>2.5031647503557619E-3</v>
      </c>
      <c r="DS32" s="79">
        <f t="shared" ca="1" si="25"/>
        <v>2.3620823620823599E-3</v>
      </c>
      <c r="DT32" s="47"/>
      <c r="DU32" s="43">
        <f t="shared" si="26"/>
        <v>0.33640563312762761</v>
      </c>
      <c r="DV32" s="83">
        <f t="shared" ca="1" si="27"/>
        <v>1.5151999999999999</v>
      </c>
      <c r="DW32" s="83">
        <f t="shared" ca="1" si="28"/>
        <v>1.4417</v>
      </c>
      <c r="DX32" s="83">
        <f t="shared" ca="1" si="29"/>
        <v>7.3499999999999899E-2</v>
      </c>
      <c r="DY32" s="67"/>
      <c r="DZ32" s="67"/>
      <c r="EA32" s="85"/>
      <c r="EB32" s="44">
        <v>48600</v>
      </c>
      <c r="EC32" s="44" cm="1">
        <f t="array" aca="1" ref="EC32" ca="1">_FV(EE32,"Volume")</f>
        <v>74400</v>
      </c>
      <c r="EE32" s="2" t="e" vm="32">
        <v>#VALUE!</v>
      </c>
      <c r="EG32" s="10" cm="1">
        <f t="array" aca="1" ref="EG32" ca="1">_FV(EE32,"Ações em circulação",TRUE)</f>
        <v>3749266000</v>
      </c>
      <c r="EH32" s="21">
        <f>VLOOKUP(BH32,Fundamentus!A:U,5,FALSE)</f>
        <v>0</v>
      </c>
      <c r="EI32" s="2" t="e">
        <f t="shared" ca="1" si="30"/>
        <v>#DIV/0!</v>
      </c>
      <c r="EJ32" s="20" t="e">
        <v>#DIV/0!</v>
      </c>
      <c r="EK32" s="20" t="e">
        <f t="shared" ca="1" si="31"/>
        <v>#DIV/0!</v>
      </c>
      <c r="EM32" s="40" t="str">
        <f>IF(VLOOKUP(BH32,Fundamentus!A:U,3,FALSE)&lt;15,"Bom",IF(VLOOKUP(BH32,Fundamentus!A:U,3,FALSE)&gt;15,"Ruim","n/a"))</f>
        <v>Bom</v>
      </c>
      <c r="EN32" s="36" t="str">
        <f>IF(VLOOKUP(BH32,Fundamentus!A:U,4,FALSE)&lt;1,"Baixo",IF(VLOOKUP(BH32,Fundamentus!A:U,4,FALSE)&lt;1.5,"Moderado",IF(VLOOKUP(BH32,Fundamentus!A:U,4,FALSE)&gt;1.5,"Alto","n/a")))</f>
        <v>Moderado</v>
      </c>
      <c r="EO32" s="20" t="str">
        <f>IF(VLOOKUP(BH32,Fundamentus!A:U,8,FALSE)&lt;0,"Risco elevado",IF(VLOOKUP(BH32,Fundamentus!A:U,8,FALSE)&lt;1,"Saudável",IF(VLOOKUP(BH32,Fundamentus!A:U,8,FALSE)&lt;3,"Estável",IF(VLOOKUP(BH32,Fundamentus!A:U,8,FALSE)&gt;3,"Alerta","n/a"))))</f>
        <v>Saudável</v>
      </c>
      <c r="EP32" s="36" t="str">
        <f t="shared" si="32"/>
        <v>Ruim</v>
      </c>
      <c r="EQ32" s="20" t="str">
        <f>IF(VLOOKUP(BH32,Fundamentus!A:U,12,FALSE)&lt;2,"Subvalorizada",IF(VLOOKUP(BH32,Fundamentus!A:U,12,FALSE)&lt;6,"Muita barata",IF(VLOOKUP(BH32,Fundamentus!A:U,12,FALSE)&lt;6,"Barata",IF(VLOOKUP(BH32,Fundamentus!A:U,12,FALSE)&lt;8,"Atrativa",IF(VLOOKUP(BH32,Fundamentus!A:U,12,FALSE)&gt;8,"Supervalorizada","n/a")))))</f>
        <v>Subvalorizada</v>
      </c>
      <c r="ES32" s="20" t="str">
        <f>IF(VLOOKUP(BH32,Fundamentus!A:U,17,FALSE)&lt;0.1,"Fraco retorno",IF(VLOOKUP(BH32,Fundamentus!A:U,17,FALSE)&gt;0.1,"Bom retorno","n/a"))</f>
        <v>Bom retorno</v>
      </c>
      <c r="ET32" s="20" t="str">
        <f>IF(VLOOKUP(BH32,Fundamentus!A:U,16,FALSE)&lt;0.1,"Ineficiente",IF(VLOOKUP(BH32,Fundamentus!A:U,16,FALSE)&gt;0.1,"Eficiente","n/a"))</f>
        <v>Ineficiente</v>
      </c>
      <c r="EU32" s="41" t="str">
        <f>IF(VLOOKUP(BH32,Fundamentus!A:U,16,FALSE)&lt;0.1,"Oper. Ineficiente",IF(VLOOKUP(BH32,Fundamentus!A:U,16,FALSE)&gt;0.1,"Oper.Eficiente","n/a"))</f>
        <v>Oper. Ineficiente</v>
      </c>
      <c r="EV32" s="42">
        <f>VLOOKUP(BH32,Fundamentus!A:U,14,FALSE)</f>
        <v>0</v>
      </c>
      <c r="EW32" s="20" t="str">
        <f>IF(VLOOKUP(BH32,Fundamentus!A:U,21,FALSE)&lt;0,"Negativo",IF(VLOOKUP(BH32,Fundamentus!A:U,21,FALSE)&lt;0.05,"Fraco",IF(VLOOKUP(BH32,Fundamentus!A:U,21,FALSE)&lt;0.1,"Bom",IF(VLOOKUP(BH32,Fundamentus!A:U,21,FALSE)&gt;0.1,"Muito bom","n/a"))))</f>
        <v>Negativo</v>
      </c>
      <c r="EY32" s="37" t="str">
        <f>IF(VLOOKUP(BH32,Fundamentus!A:U,15,FALSE)&gt;1,"Bom",IF(VLOOKUP(BH32,Fundamentus!A:U,15,FALSE)&lt;1,"Ruim","n/a"))</f>
        <v>Ruim</v>
      </c>
      <c r="EZ32" s="20" t="str">
        <f>IF(VLOOKUP(BH32,Fundamentus!A:U,20,FALSE)&lt;0.5,"Baixa",IF(VLOOKUP(BH32,Fundamentus!A:U,20,FALSE)&lt;1,"Moderada",IF(VLOOKUP(BH32,Fundamentus!A:U,20,FALSE)&lt;2,"Alerta",IF(VLOOKUP(BH32,Fundamentus!A:U,20,FALSE)&gt;2,"Alta","n/a"))))</f>
        <v>Baixa</v>
      </c>
    </row>
    <row r="33" spans="1:156" s="5" customFormat="1" ht="11.25" hidden="1" x14ac:dyDescent="0.2">
      <c r="A33" s="4">
        <v>18.41</v>
      </c>
      <c r="B33" s="4">
        <v>18.5</v>
      </c>
      <c r="C33" s="4">
        <v>18.8</v>
      </c>
      <c r="D33" s="4">
        <v>19.04</v>
      </c>
      <c r="E33" s="4">
        <v>18.38</v>
      </c>
      <c r="F33" s="4">
        <v>18.16</v>
      </c>
      <c r="G33" s="4">
        <v>18.670000000000002</v>
      </c>
      <c r="H33" s="4">
        <v>17.989999999999998</v>
      </c>
      <c r="I33" s="4">
        <v>18.61</v>
      </c>
      <c r="J33" s="4">
        <v>19.5</v>
      </c>
      <c r="K33" s="4">
        <v>19.97</v>
      </c>
      <c r="L33" s="4">
        <v>20.18</v>
      </c>
      <c r="M33" s="4">
        <v>19.399999999999999</v>
      </c>
      <c r="N33" s="4">
        <v>19.7</v>
      </c>
      <c r="O33" s="4">
        <v>18.8</v>
      </c>
      <c r="P33" s="4">
        <v>18.63</v>
      </c>
      <c r="Q33" s="4">
        <v>18.8</v>
      </c>
      <c r="R33" s="4">
        <v>19.25</v>
      </c>
      <c r="S33" s="4">
        <v>18.149999999999999</v>
      </c>
      <c r="T33" s="4">
        <v>18.100000000000001</v>
      </c>
      <c r="U33" s="4">
        <v>17.739999999999998</v>
      </c>
      <c r="V33" s="4">
        <v>18.100000000000001</v>
      </c>
      <c r="W33" s="4">
        <v>17.3</v>
      </c>
      <c r="X33" s="4">
        <v>16.98</v>
      </c>
      <c r="Y33" s="4">
        <v>16.8</v>
      </c>
      <c r="Z33" s="4">
        <v>17.100000000000001</v>
      </c>
      <c r="AA33" s="4">
        <v>17.23</v>
      </c>
      <c r="AB33" s="4">
        <v>15.93</v>
      </c>
      <c r="AC33" s="4">
        <v>15.9</v>
      </c>
      <c r="AD33" s="4">
        <v>15.62</v>
      </c>
      <c r="AE33" s="4">
        <v>15.97</v>
      </c>
      <c r="AF33" s="4">
        <v>15.03</v>
      </c>
      <c r="AG33" s="4">
        <v>14.4</v>
      </c>
      <c r="AH33" s="4">
        <v>14.85</v>
      </c>
      <c r="AI33" s="4">
        <v>15.41</v>
      </c>
      <c r="AJ33" s="4">
        <v>15.08</v>
      </c>
      <c r="AK33" s="4">
        <v>15.6</v>
      </c>
      <c r="AL33" s="4">
        <v>16.28</v>
      </c>
      <c r="AM33" s="4">
        <v>16.18</v>
      </c>
      <c r="AN33" s="4">
        <v>16</v>
      </c>
      <c r="AO33" s="4">
        <v>16.149999999999999</v>
      </c>
      <c r="AP33" s="4">
        <v>17.11</v>
      </c>
      <c r="AQ33" s="4">
        <v>16.940000000000001</v>
      </c>
      <c r="AR33" s="4">
        <v>16.75</v>
      </c>
      <c r="AS33" s="4">
        <v>16.27</v>
      </c>
      <c r="AT33" s="4">
        <v>16.399999999999999</v>
      </c>
      <c r="AU33" s="4">
        <v>16.504999999999999</v>
      </c>
      <c r="AV33" s="4">
        <v>16.73</v>
      </c>
      <c r="AW33" s="4">
        <v>16.75</v>
      </c>
      <c r="AX33" s="4">
        <v>16.690000000000001</v>
      </c>
      <c r="AY33" s="12">
        <v>16.45</v>
      </c>
      <c r="AZ33" s="12">
        <v>16.46</v>
      </c>
      <c r="BA33" s="12">
        <v>17.170000000000002</v>
      </c>
      <c r="BB33" s="18">
        <v>17.329999999999998</v>
      </c>
      <c r="BC33" s="63">
        <v>18.02</v>
      </c>
      <c r="BD33" s="63">
        <v>17.97</v>
      </c>
      <c r="BE33" s="63">
        <v>18.100000000000001</v>
      </c>
      <c r="BF33" s="63">
        <v>18.190000000000001</v>
      </c>
      <c r="BG33" s="91" cm="1">
        <f t="array" aca="1" ref="BG33" ca="1">_FV(EE33,"Preço")</f>
        <v>17.850000000000001</v>
      </c>
      <c r="BH33" s="93" t="s">
        <v>31</v>
      </c>
      <c r="BI33" s="32" cm="1">
        <f t="array" aca="1" ref="BI33" ca="1">_FV(EE33,"Beta")</f>
        <v>0.89290000000000003</v>
      </c>
      <c r="BJ33" s="96" cm="1">
        <f t="array" aca="1" ref="BJ33" ca="1">_FV(EE33,"Variação (%)",TRUE)</f>
        <v>-1.9769000000000002E-2</v>
      </c>
      <c r="BK33" s="49"/>
      <c r="BL33" s="49"/>
      <c r="BN33" s="32"/>
      <c r="BO33" s="20" cm="1">
        <f t="array" aca="1" ref="BO33" ca="1">_FV(EE33,"Baixo")</f>
        <v>17.850000000000001</v>
      </c>
      <c r="BP33" s="20" cm="1">
        <f t="array" aca="1" ref="BP33" ca="1">_FV(EE33,"Alto")</f>
        <v>18.11</v>
      </c>
      <c r="BQ33" s="32"/>
      <c r="BR33" s="74">
        <f ca="1">SQRT(22.5*(BG33/VLOOKUP(BH33,Fundamentus!A:U,3,FALSE))*(BG33/VLOOKUP(BH33,Fundamentus!A:U,4,FALSE)))</f>
        <v>23.507199950903086</v>
      </c>
      <c r="BT33" s="73">
        <f t="shared" ca="1" si="0"/>
        <v>-1.8691588785046721E-2</v>
      </c>
      <c r="BU33" s="36">
        <f t="shared" si="1"/>
        <v>-1.6838674633351369E-2</v>
      </c>
      <c r="BV33" s="8"/>
      <c r="BW33" s="72">
        <f t="shared" si="2"/>
        <v>14.4</v>
      </c>
      <c r="BX33" s="72">
        <f t="shared" si="3"/>
        <v>17.353879310344833</v>
      </c>
      <c r="BY33" s="72">
        <f t="shared" si="4"/>
        <v>20.18</v>
      </c>
      <c r="BZ33" s="17"/>
      <c r="CA33" s="17"/>
      <c r="CB33" s="43">
        <f t="shared" si="5"/>
        <v>18.055647186086507</v>
      </c>
      <c r="CC33" s="18">
        <f t="shared" si="6"/>
        <v>18.222380506091838</v>
      </c>
      <c r="CD33" s="43">
        <f t="shared" si="7"/>
        <v>18.389113826097169</v>
      </c>
      <c r="CE33" s="98">
        <f t="shared" ca="1" si="8"/>
        <v>-2.2333898592070835</v>
      </c>
      <c r="CF33" s="17"/>
      <c r="CG33" s="20">
        <f t="shared" si="9"/>
        <v>9.2200000000000006</v>
      </c>
      <c r="CH33" s="20">
        <f t="shared" si="10"/>
        <v>11.81</v>
      </c>
      <c r="CI33" s="20">
        <f t="shared" si="11"/>
        <v>15</v>
      </c>
      <c r="CJ33" s="49">
        <f t="shared" si="12"/>
        <v>17.59</v>
      </c>
      <c r="CK33" s="20">
        <f t="shared" si="13"/>
        <v>20.78</v>
      </c>
      <c r="CL33" s="20">
        <f t="shared" si="14"/>
        <v>23.369999999999997</v>
      </c>
      <c r="CM33" s="20">
        <f t="shared" si="15"/>
        <v>26.56</v>
      </c>
      <c r="CN33" s="2" cm="1">
        <f t="array" aca="1" ref="CN33" ca="1">MAX(_xlfn._xlws.FILTER(CG33:CM33,CG33:CM33&lt;BG33))</f>
        <v>17.59</v>
      </c>
      <c r="CO33" s="2" cm="1">
        <f t="array" aca="1" ref="CO33" ca="1">MIN(_xlfn._xlws.FILTER($CG33:$CM33,$CG33:$CM33&gt;BG33))</f>
        <v>20.78</v>
      </c>
      <c r="CP33" s="19">
        <f t="shared" ca="1" si="65"/>
        <v>0.18135304150085285</v>
      </c>
      <c r="CQ33" s="23">
        <f t="shared" ca="1" si="66"/>
        <v>-9.0676520750426426E-2</v>
      </c>
      <c r="CR33" s="23">
        <f t="shared" ca="1" si="67"/>
        <v>-6.0451013833617617E-2</v>
      </c>
      <c r="CS33" s="23">
        <f t="shared" ca="1" si="68"/>
        <v>-3.6270608300170572E-2</v>
      </c>
      <c r="CT33" s="23">
        <f t="shared" ca="1" si="69"/>
        <v>-2.0150337944539205E-2</v>
      </c>
      <c r="CU33" s="23">
        <f t="shared" ca="1" si="70"/>
        <v>-1.0667825970638404E-2</v>
      </c>
      <c r="CV33" s="23">
        <f t="shared" ca="1" si="71"/>
        <v>-5.4955467121470562E-3</v>
      </c>
      <c r="CW33" s="23">
        <f t="shared" ca="1" si="72"/>
        <v>-2.7900467923208131E-3</v>
      </c>
      <c r="CX33" s="24">
        <f t="shared" ca="1" si="73"/>
        <v>2.7900467923208131E-3</v>
      </c>
      <c r="CY33" s="24">
        <f t="shared" ca="1" si="74"/>
        <v>5.4955467121470562E-3</v>
      </c>
      <c r="CZ33" s="24">
        <f t="shared" ca="1" si="75"/>
        <v>1.0667825970638404E-2</v>
      </c>
      <c r="DA33" s="24">
        <f t="shared" ca="1" si="76"/>
        <v>2.0150337944539205E-2</v>
      </c>
      <c r="DB33" s="24">
        <f t="shared" ca="1" si="77"/>
        <v>3.6270608300170572E-2</v>
      </c>
      <c r="DC33" s="24">
        <f t="shared" ca="1" si="78"/>
        <v>6.0451013833617617E-2</v>
      </c>
      <c r="DD33" s="24">
        <f t="shared" ca="1" si="79"/>
        <v>9.0676520750426426E-2</v>
      </c>
      <c r="DF33" s="19" cm="1">
        <f t="array" aca="1" ref="DF33" ca="1">MAX(_xlfn._xlws.FILTER(CQ33:DD33,CQ33:DD33&lt;BJ33))</f>
        <v>-2.0150337944539205E-2</v>
      </c>
      <c r="DG33" s="19" cm="1">
        <f t="array" aca="1" ref="DG33" ca="1">MIN(_xlfn._xlws.FILTER(CQ33:DD33,CQ33:DD33&gt;BJ33))</f>
        <v>-1.0667825970638404E-2</v>
      </c>
      <c r="DH33" s="2" cm="1">
        <f t="array" aca="1" ref="DH33" ca="1">_FV(EE33,"Fechamento anterior",TRUE)</f>
        <v>18.21</v>
      </c>
      <c r="DI33" s="36">
        <f t="shared" ca="1" si="22"/>
        <v>4.0177165049348457E-2</v>
      </c>
      <c r="DJ33" s="18">
        <f t="shared" ca="1" si="80"/>
        <v>17.843062346029942</v>
      </c>
      <c r="DK33" s="18">
        <f t="shared" ca="1" si="81"/>
        <v>18.015738889074676</v>
      </c>
      <c r="DL33" s="9"/>
      <c r="DM33" s="9"/>
      <c r="DN33" s="9"/>
      <c r="DO33" s="9"/>
      <c r="DP33" s="79">
        <v>9.6602269265257841E-3</v>
      </c>
      <c r="DQ33" s="79">
        <v>2.756204605610154E-3</v>
      </c>
      <c r="DR33" s="79">
        <v>2.756204605610154E-3</v>
      </c>
      <c r="DS33" s="79">
        <f t="shared" ca="1" si="25"/>
        <v>9.482511973900801E-3</v>
      </c>
      <c r="DT33" s="47"/>
      <c r="DU33" s="43">
        <f t="shared" si="26"/>
        <v>8.3366660002666335E-2</v>
      </c>
      <c r="DV33" s="83">
        <f t="shared" ca="1" si="27"/>
        <v>1.319</v>
      </c>
      <c r="DW33" s="83">
        <f t="shared" ca="1" si="28"/>
        <v>2.8698000000000001</v>
      </c>
      <c r="DX33" s="83">
        <f t="shared" ca="1" si="29"/>
        <v>-1.5508000000000002</v>
      </c>
      <c r="DY33" s="67"/>
      <c r="DZ33" s="67"/>
      <c r="EA33" s="85"/>
      <c r="EB33" s="44">
        <v>21300</v>
      </c>
      <c r="EC33" s="44" cm="1">
        <f t="array" aca="1" ref="EC33" ca="1">_FV(EE33,"Volume")</f>
        <v>20800</v>
      </c>
      <c r="EE33" s="5" t="e" vm="33">
        <v>#VALUE!</v>
      </c>
      <c r="EG33" s="10" cm="1">
        <f t="array" aca="1" ref="EG33" ca="1">_FV(EE33,"Ações em circulação",TRUE)</f>
        <v>41800000</v>
      </c>
      <c r="EH33" s="21">
        <f>VLOOKUP(BH33,Fundamentus!A:U,5,FALSE)</f>
        <v>1.32</v>
      </c>
      <c r="EI33" s="2">
        <f t="shared" ca="1" si="30"/>
        <v>565250000</v>
      </c>
      <c r="EJ33" s="20">
        <v>90895429.999999985</v>
      </c>
      <c r="EK33" s="20">
        <f t="shared" ca="1" si="31"/>
        <v>89196450</v>
      </c>
      <c r="EL33" s="2"/>
      <c r="EM33" s="40" t="str">
        <f>IF(VLOOKUP(BH33,Fundamentus!A:U,3,FALSE)&lt;15,"Bom",IF(VLOOKUP(BH33,Fundamentus!A:U,3,FALSE)&gt;15,"Ruim","n/a"))</f>
        <v>Bom</v>
      </c>
      <c r="EN33" s="36" t="str">
        <f>IF(VLOOKUP(BH33,Fundamentus!A:U,4,FALSE)&lt;1,"Baixo",IF(VLOOKUP(BH33,Fundamentus!A:U,4,FALSE)&lt;1.5,"Moderado",IF(VLOOKUP(BH33,Fundamentus!A:U,4,FALSE)&gt;1.5,"Alto","n/a")))</f>
        <v>Alto</v>
      </c>
      <c r="EO33" s="20" t="str">
        <f>IF(VLOOKUP(BH33,Fundamentus!A:U,8,FALSE)&lt;0,"Risco elevado",IF(VLOOKUP(BH33,Fundamentus!A:U,8,FALSE)&lt;1,"Saudável",IF(VLOOKUP(BH33,Fundamentus!A:U,8,FALSE)&lt;3,"Estável",IF(VLOOKUP(BH33,Fundamentus!A:U,8,FALSE)&gt;3,"Alerta","n/a"))))</f>
        <v>Alerta</v>
      </c>
      <c r="EP33" s="36" t="str">
        <f t="shared" si="32"/>
        <v>Bom</v>
      </c>
      <c r="EQ33" s="20" t="str">
        <f>IF(VLOOKUP(BH33,Fundamentus!A:U,12,FALSE)&lt;2,"Subvalorizada",IF(VLOOKUP(BH33,Fundamentus!A:U,12,FALSE)&lt;6,"Muita barata",IF(VLOOKUP(BH33,Fundamentus!A:U,12,FALSE)&lt;6,"Barata",IF(VLOOKUP(BH33,Fundamentus!A:U,12,FALSE)&lt;8,"Atrativa",IF(VLOOKUP(BH33,Fundamentus!A:U,12,FALSE)&gt;8,"Supervalorizada","n/a")))))</f>
        <v>Muita barata</v>
      </c>
      <c r="ER33" s="2"/>
      <c r="ES33" s="20" t="str">
        <f>IF(VLOOKUP(BH33,Fundamentus!A:U,17,FALSE)&lt;0.1,"Fraco retorno",IF(VLOOKUP(BH33,Fundamentus!A:U,17,FALSE)&gt;0.1,"Bom retorno","n/a"))</f>
        <v>Bom retorno</v>
      </c>
      <c r="ET33" s="20" t="str">
        <f>IF(VLOOKUP(BH33,Fundamentus!A:U,16,FALSE)&lt;0.1,"Ineficiente",IF(VLOOKUP(BH33,Fundamentus!A:U,16,FALSE)&gt;0.1,"Eficiente","n/a"))</f>
        <v>Eficiente</v>
      </c>
      <c r="EU33" s="41" t="str">
        <f>IF(VLOOKUP(BH33,Fundamentus!A:U,16,FALSE)&lt;0.1,"Oper. Ineficiente",IF(VLOOKUP(BH33,Fundamentus!A:U,16,FALSE)&gt;0.1,"Oper.Eficiente","n/a"))</f>
        <v>Oper.Eficiente</v>
      </c>
      <c r="EV33" s="42">
        <f>VLOOKUP(BH33,Fundamentus!A:U,14,FALSE)</f>
        <v>0.1578</v>
      </c>
      <c r="EW33" s="20" t="str">
        <f>IF(VLOOKUP(BH33,Fundamentus!A:U,21,FALSE)&lt;0,"Negativo",IF(VLOOKUP(BH33,Fundamentus!A:U,21,FALSE)&lt;0.05,"Fraco",IF(VLOOKUP(BH33,Fundamentus!A:U,21,FALSE)&lt;0.1,"Bom",IF(VLOOKUP(BH33,Fundamentus!A:U,21,FALSE)&gt;0.1,"Muito bom","n/a"))))</f>
        <v>Fraco</v>
      </c>
      <c r="EY33" s="37" t="str">
        <f>IF(VLOOKUP(BH33,Fundamentus!A:U,15,FALSE)&gt;1,"Bom",IF(VLOOKUP(BH33,Fundamentus!A:U,15,FALSE)&lt;1,"Ruim","n/a"))</f>
        <v>Bom</v>
      </c>
      <c r="EZ33" s="20" t="str">
        <f>IF(VLOOKUP(BH33,Fundamentus!A:U,20,FALSE)&lt;0.5,"Baixa",IF(VLOOKUP(BH33,Fundamentus!A:U,20,FALSE)&lt;1,"Moderada",IF(VLOOKUP(BH33,Fundamentus!A:U,20,FALSE)&lt;2,"Alerta",IF(VLOOKUP(BH33,Fundamentus!A:U,20,FALSE)&gt;2,"Alta","n/a"))))</f>
        <v>Baixa</v>
      </c>
    </row>
    <row r="34" spans="1:156" s="2" customFormat="1" ht="11.25" hidden="1" x14ac:dyDescent="0.2">
      <c r="A34" s="4">
        <v>10.53</v>
      </c>
      <c r="B34" s="4">
        <v>11.09</v>
      </c>
      <c r="C34" s="4">
        <v>10.89</v>
      </c>
      <c r="D34" s="4">
        <v>10.47</v>
      </c>
      <c r="E34" s="4">
        <v>10.28</v>
      </c>
      <c r="F34" s="4">
        <v>10.23</v>
      </c>
      <c r="G34" s="4">
        <v>9.99</v>
      </c>
      <c r="H34" s="4">
        <v>9.64</v>
      </c>
      <c r="I34" s="4">
        <v>10.61</v>
      </c>
      <c r="J34" s="4">
        <v>11.8</v>
      </c>
      <c r="K34" s="4">
        <v>11.9</v>
      </c>
      <c r="L34" s="4">
        <v>11.29</v>
      </c>
      <c r="M34" s="4">
        <v>11.29</v>
      </c>
      <c r="N34" s="4">
        <v>10.37</v>
      </c>
      <c r="O34" s="4">
        <v>11.62</v>
      </c>
      <c r="P34" s="4">
        <v>11.68</v>
      </c>
      <c r="Q34" s="4">
        <v>13.73</v>
      </c>
      <c r="R34" s="4">
        <v>13.97</v>
      </c>
      <c r="S34" s="4">
        <v>14.16</v>
      </c>
      <c r="T34" s="4">
        <v>14.24</v>
      </c>
      <c r="U34" s="4">
        <v>13.17</v>
      </c>
      <c r="V34" s="4">
        <v>13.76</v>
      </c>
      <c r="W34" s="4">
        <v>13.05</v>
      </c>
      <c r="X34" s="4">
        <v>13.1</v>
      </c>
      <c r="Y34" s="4">
        <v>14.1</v>
      </c>
      <c r="Z34" s="4">
        <v>14.18</v>
      </c>
      <c r="AA34" s="4">
        <v>14.75</v>
      </c>
      <c r="AB34" s="4">
        <v>15.23</v>
      </c>
      <c r="AC34" s="4">
        <v>14.92</v>
      </c>
      <c r="AD34" s="4">
        <v>14.7</v>
      </c>
      <c r="AE34" s="4">
        <v>13.39</v>
      </c>
      <c r="AF34" s="4">
        <v>13.67</v>
      </c>
      <c r="AG34" s="4">
        <v>13.66</v>
      </c>
      <c r="AH34" s="4">
        <v>13.6</v>
      </c>
      <c r="AI34" s="4">
        <v>12.68</v>
      </c>
      <c r="AJ34" s="4">
        <v>12.9</v>
      </c>
      <c r="AK34" s="4">
        <v>12.66</v>
      </c>
      <c r="AL34" s="4">
        <v>11.86</v>
      </c>
      <c r="AM34" s="4">
        <v>12.48</v>
      </c>
      <c r="AN34" s="4">
        <v>12.97</v>
      </c>
      <c r="AO34" s="4">
        <v>12.05</v>
      </c>
      <c r="AP34" s="4">
        <v>12.75</v>
      </c>
      <c r="AQ34" s="4">
        <v>11.96</v>
      </c>
      <c r="AR34" s="4">
        <v>12.42</v>
      </c>
      <c r="AS34" s="4">
        <v>12.6</v>
      </c>
      <c r="AT34" s="4">
        <v>11.69</v>
      </c>
      <c r="AU34" s="4">
        <v>13.42</v>
      </c>
      <c r="AV34" s="4">
        <v>13.2</v>
      </c>
      <c r="AW34" s="4">
        <v>13.4</v>
      </c>
      <c r="AX34" s="4">
        <v>12.85</v>
      </c>
      <c r="AY34" s="12">
        <v>12.66</v>
      </c>
      <c r="AZ34" s="12">
        <v>12.79</v>
      </c>
      <c r="BA34" s="12">
        <v>12.91</v>
      </c>
      <c r="BB34" s="18">
        <v>12.92</v>
      </c>
      <c r="BC34" s="63">
        <v>13.9</v>
      </c>
      <c r="BD34" s="63">
        <v>14.33</v>
      </c>
      <c r="BE34" s="63">
        <v>14</v>
      </c>
      <c r="BF34" s="63">
        <v>13.9</v>
      </c>
      <c r="BG34" s="91" cm="1">
        <f t="array" aca="1" ref="BG34" ca="1">_FV(EE34,"Preço")</f>
        <v>13.7</v>
      </c>
      <c r="BH34" s="93" t="s">
        <v>187</v>
      </c>
      <c r="BI34" s="32" cm="1">
        <f t="array" aca="1" ref="BI34" ca="1">_FV(EE34,"Beta")</f>
        <v>1.0051000000000001</v>
      </c>
      <c r="BJ34" s="96" cm="1">
        <f t="array" aca="1" ref="BJ34" ca="1">_FV(EE34,"Variação (%)",TRUE)</f>
        <v>2.928E-3</v>
      </c>
      <c r="BK34" s="49"/>
      <c r="BL34" s="49"/>
      <c r="BN34" s="32"/>
      <c r="BO34" s="20" cm="1">
        <f t="array" aca="1" ref="BO34" ca="1">_FV(EE34,"Baixo")</f>
        <v>13.55</v>
      </c>
      <c r="BP34" s="20" cm="1">
        <f t="array" aca="1" ref="BP34" ca="1">_FV(EE34,"Alto")</f>
        <v>13.78</v>
      </c>
      <c r="BQ34" s="32"/>
      <c r="BR34" s="74">
        <f ca="1">SQRT(22.5*(BG34/VLOOKUP(BH34,Fundamentus!A:U,3,FALSE))*(BG34/VLOOKUP(BH34,Fundamentus!A:U,4,FALSE)))</f>
        <v>19.410473995311381</v>
      </c>
      <c r="BT34" s="73">
        <f t="shared" ca="1" si="0"/>
        <v>-1.4388489208633171E-2</v>
      </c>
      <c r="BU34" s="36">
        <f t="shared" si="1"/>
        <v>0.32953466286799626</v>
      </c>
      <c r="BV34" s="8"/>
      <c r="BW34" s="72">
        <f t="shared" si="2"/>
        <v>9.64</v>
      </c>
      <c r="BX34" s="72">
        <f t="shared" si="3"/>
        <v>12.661379310344829</v>
      </c>
      <c r="BY34" s="72">
        <f t="shared" si="4"/>
        <v>15.23</v>
      </c>
      <c r="BZ34" s="17"/>
      <c r="CA34" s="17"/>
      <c r="CB34" s="43">
        <f t="shared" si="5"/>
        <v>13.611367633860528</v>
      </c>
      <c r="CC34" s="18">
        <f t="shared" si="6"/>
        <v>13.964461105904405</v>
      </c>
      <c r="CD34" s="43">
        <f t="shared" si="7"/>
        <v>14.317554577948282</v>
      </c>
      <c r="CE34" s="98">
        <f t="shared" ca="1" si="8"/>
        <v>-0.7489832773559254</v>
      </c>
      <c r="CF34" s="17"/>
      <c r="CG34" s="20">
        <f t="shared" si="9"/>
        <v>5.0266666666666673</v>
      </c>
      <c r="CH34" s="20">
        <f t="shared" si="10"/>
        <v>7.3333333333333339</v>
      </c>
      <c r="CI34" s="20">
        <f t="shared" si="11"/>
        <v>10.616666666666667</v>
      </c>
      <c r="CJ34" s="49">
        <f t="shared" si="12"/>
        <v>12.923333333333334</v>
      </c>
      <c r="CK34" s="20">
        <f t="shared" si="13"/>
        <v>16.206666666666667</v>
      </c>
      <c r="CL34" s="20">
        <f t="shared" si="14"/>
        <v>18.513333333333335</v>
      </c>
      <c r="CM34" s="20">
        <f t="shared" si="15"/>
        <v>21.796666666666667</v>
      </c>
      <c r="CN34" s="2" cm="1">
        <f t="array" aca="1" ref="CN34" ca="1">MAX(_xlfn._xlws.FILTER(CG34:CM34,CG34:CM34&lt;BG34))</f>
        <v>12.923333333333334</v>
      </c>
      <c r="CO34" s="2" cm="1">
        <f t="array" aca="1" ref="CO34" ca="1">MIN(_xlfn._xlws.FILTER($CG34:$CM34,$CG34:$CM34&gt;BG34))</f>
        <v>16.206666666666667</v>
      </c>
      <c r="CP34" s="19">
        <f t="shared" ca="1" si="65"/>
        <v>0.25406241939644048</v>
      </c>
      <c r="CQ34" s="23">
        <f t="shared" ca="1" si="66"/>
        <v>-0.12703120969822024</v>
      </c>
      <c r="CR34" s="23">
        <f t="shared" ca="1" si="67"/>
        <v>-8.468747313214682E-2</v>
      </c>
      <c r="CS34" s="23">
        <f t="shared" ca="1" si="68"/>
        <v>-5.0812483879288092E-2</v>
      </c>
      <c r="CT34" s="23">
        <f t="shared" ca="1" si="69"/>
        <v>-2.8229157710715609E-2</v>
      </c>
      <c r="CU34" s="23">
        <f t="shared" ca="1" si="70"/>
        <v>-1.4944848199790617E-2</v>
      </c>
      <c r="CV34" s="23">
        <f t="shared" ca="1" si="71"/>
        <v>-7.6988611938315294E-3</v>
      </c>
      <c r="CW34" s="23">
        <f t="shared" ca="1" si="72"/>
        <v>-3.9086526060990844E-3</v>
      </c>
      <c r="CX34" s="24">
        <f t="shared" ca="1" si="73"/>
        <v>3.9086526060990844E-3</v>
      </c>
      <c r="CY34" s="24">
        <f t="shared" ca="1" si="74"/>
        <v>7.6988611938315294E-3</v>
      </c>
      <c r="CZ34" s="24">
        <f t="shared" ca="1" si="75"/>
        <v>1.4944848199790617E-2</v>
      </c>
      <c r="DA34" s="24">
        <f t="shared" ca="1" si="76"/>
        <v>2.8229157710715609E-2</v>
      </c>
      <c r="DB34" s="24">
        <f t="shared" ca="1" si="77"/>
        <v>5.0812483879288092E-2</v>
      </c>
      <c r="DC34" s="24">
        <f t="shared" ca="1" si="78"/>
        <v>8.468747313214682E-2</v>
      </c>
      <c r="DD34" s="24">
        <f t="shared" ca="1" si="79"/>
        <v>0.12703120969822024</v>
      </c>
      <c r="DF34" s="19" cm="1">
        <f t="array" aca="1" ref="DF34" ca="1">MAX(_xlfn._xlws.FILTER(CQ34:DD34,CQ34:DD34&lt;BJ34))</f>
        <v>-3.9086526060990844E-3</v>
      </c>
      <c r="DG34" s="19" cm="1">
        <f t="array" aca="1" ref="DG34" ca="1">MIN(_xlfn._xlws.FILTER(CQ34:DD34,CQ34:DD34&gt;BJ34))</f>
        <v>3.9086526060990844E-3</v>
      </c>
      <c r="DH34" s="2" cm="1">
        <f t="array" aca="1" ref="DH34" ca="1">_FV(EE34,"Fechamento anterior",TRUE)</f>
        <v>13.66</v>
      </c>
      <c r="DI34" s="36">
        <f t="shared" ca="1" si="22"/>
        <v>0.87458658798521904</v>
      </c>
      <c r="DJ34" s="18">
        <f t="shared" ca="1" si="80"/>
        <v>13.606607805400687</v>
      </c>
      <c r="DK34" s="18">
        <f t="shared" ca="1" si="81"/>
        <v>13.713392194599313</v>
      </c>
      <c r="DL34" s="9"/>
      <c r="DM34" s="9"/>
      <c r="DN34" s="9"/>
      <c r="DO34" s="9"/>
      <c r="DP34" s="79">
        <v>2.4406779661016918E-2</v>
      </c>
      <c r="DQ34" s="79">
        <v>3.6654844677767367E-3</v>
      </c>
      <c r="DR34" s="79">
        <v>1.6271186440677949E-2</v>
      </c>
      <c r="DS34" s="79">
        <f t="shared" ca="1" si="25"/>
        <v>7.8173052121981688E-3</v>
      </c>
      <c r="DT34" s="47"/>
      <c r="DU34" s="43">
        <f t="shared" si="26"/>
        <v>0.17654673602193829</v>
      </c>
      <c r="DV34" s="83">
        <f t="shared" ca="1" si="27"/>
        <v>1.4312</v>
      </c>
      <c r="DW34" s="83">
        <f t="shared" ca="1" si="28"/>
        <v>0.71230000000000016</v>
      </c>
      <c r="DX34" s="83">
        <f t="shared" ca="1" si="29"/>
        <v>0.71889999999999987</v>
      </c>
      <c r="DY34" s="67"/>
      <c r="DZ34" s="67"/>
      <c r="EA34" s="85"/>
      <c r="EB34" s="44">
        <v>258400</v>
      </c>
      <c r="EC34" s="44" cm="1">
        <f t="array" aca="1" ref="EC34" ca="1">_FV(EE34,"Volume")</f>
        <v>148800</v>
      </c>
      <c r="EE34" s="2" t="e" vm="34">
        <v>#VALUE!</v>
      </c>
      <c r="EG34" s="10" cm="1">
        <f t="array" aca="1" ref="EG34" ca="1">_FV(EE34,"Ações em circulação",TRUE)</f>
        <v>179393900</v>
      </c>
      <c r="EH34" s="21">
        <f>VLOOKUP(BH34,Fundamentus!A:U,5,FALSE)</f>
        <v>1.4530000000000001</v>
      </c>
      <c r="EI34" s="2">
        <f t="shared" ca="1" si="30"/>
        <v>1691463475.5677907</v>
      </c>
      <c r="EJ34" s="20">
        <v>256908609.04129386</v>
      </c>
      <c r="EK34" s="20">
        <f t="shared" ca="1" si="31"/>
        <v>253212082.29249826</v>
      </c>
      <c r="EM34" s="40" t="str">
        <f>IF(VLOOKUP(BH34,Fundamentus!A:U,3,FALSE)&lt;15,"Bom",IF(VLOOKUP(BH34,Fundamentus!A:U,3,FALSE)&gt;15,"Ruim","n/a"))</f>
        <v>Bom</v>
      </c>
      <c r="EN34" s="36" t="str">
        <f>IF(VLOOKUP(BH34,Fundamentus!A:U,4,FALSE)&lt;1,"Baixo",IF(VLOOKUP(BH34,Fundamentus!A:U,4,FALSE)&lt;1.5,"Moderado",IF(VLOOKUP(BH34,Fundamentus!A:U,4,FALSE)&gt;1.5,"Alto","n/a")))</f>
        <v>Moderado</v>
      </c>
      <c r="EO34" s="20" t="str">
        <f>IF(VLOOKUP(BH34,Fundamentus!A:U,8,FALSE)&lt;0,"Risco elevado",IF(VLOOKUP(BH34,Fundamentus!A:U,8,FALSE)&lt;1,"Saudável",IF(VLOOKUP(BH34,Fundamentus!A:U,8,FALSE)&lt;3,"Estável",IF(VLOOKUP(BH34,Fundamentus!A:U,8,FALSE)&gt;3,"Alerta","n/a"))))</f>
        <v>Estável</v>
      </c>
      <c r="EP34" s="36" t="str">
        <f t="shared" si="32"/>
        <v>Bom</v>
      </c>
      <c r="EQ34" s="20" t="str">
        <f>IF(VLOOKUP(BH34,Fundamentus!A:U,12,FALSE)&lt;2,"Subvalorizada",IF(VLOOKUP(BH34,Fundamentus!A:U,12,FALSE)&lt;6,"Muita barata",IF(VLOOKUP(BH34,Fundamentus!A:U,12,FALSE)&lt;6,"Barata",IF(VLOOKUP(BH34,Fundamentus!A:U,12,FALSE)&lt;8,"Atrativa",IF(VLOOKUP(BH34,Fundamentus!A:U,12,FALSE)&gt;8,"Supervalorizada","n/a")))))</f>
        <v>Atrativa</v>
      </c>
      <c r="ES34" s="20" t="str">
        <f>IF(VLOOKUP(BH34,Fundamentus!A:U,17,FALSE)&lt;0.1,"Fraco retorno",IF(VLOOKUP(BH34,Fundamentus!A:U,17,FALSE)&gt;0.1,"Bom retorno","n/a"))</f>
        <v>Bom retorno</v>
      </c>
      <c r="ET34" s="20" t="str">
        <f>IF(VLOOKUP(BH34,Fundamentus!A:U,16,FALSE)&lt;0.1,"Ineficiente",IF(VLOOKUP(BH34,Fundamentus!A:U,16,FALSE)&gt;0.1,"Eficiente","n/a"))</f>
        <v>Eficiente</v>
      </c>
      <c r="EU34" s="41" t="str">
        <f>IF(VLOOKUP(BH34,Fundamentus!A:U,16,FALSE)&lt;0.1,"Oper. Ineficiente",IF(VLOOKUP(BH34,Fundamentus!A:U,16,FALSE)&gt;0.1,"Oper.Eficiente","n/a"))</f>
        <v>Oper.Eficiente</v>
      </c>
      <c r="EV34" s="42">
        <f>VLOOKUP(BH34,Fundamentus!A:U,14,FALSE)</f>
        <v>0.1497</v>
      </c>
      <c r="EW34" s="20" t="str">
        <f>IF(VLOOKUP(BH34,Fundamentus!A:U,21,FALSE)&lt;0,"Negativo",IF(VLOOKUP(BH34,Fundamentus!A:U,21,FALSE)&lt;0.05,"Fraco",IF(VLOOKUP(BH34,Fundamentus!A:U,21,FALSE)&lt;0.1,"Bom",IF(VLOOKUP(BH34,Fundamentus!A:U,21,FALSE)&gt;0.1,"Muito bom","n/a"))))</f>
        <v>Bom</v>
      </c>
      <c r="EY34" s="37" t="str">
        <f>IF(VLOOKUP(BH34,Fundamentus!A:U,15,FALSE)&gt;1,"Bom",IF(VLOOKUP(BH34,Fundamentus!A:U,15,FALSE)&lt;1,"Ruim","n/a"))</f>
        <v>Bom</v>
      </c>
      <c r="EZ34" s="20" t="str">
        <f>IF(VLOOKUP(BH34,Fundamentus!A:U,20,FALSE)&lt;0.5,"Baixa",IF(VLOOKUP(BH34,Fundamentus!A:U,20,FALSE)&lt;1,"Moderada",IF(VLOOKUP(BH34,Fundamentus!A:U,20,FALSE)&lt;2,"Alerta",IF(VLOOKUP(BH34,Fundamentus!A:U,20,FALSE)&gt;2,"Alta","n/a"))))</f>
        <v>Baixa</v>
      </c>
    </row>
    <row r="35" spans="1:156" s="2" customFormat="1" ht="11.25" hidden="1" x14ac:dyDescent="0.2">
      <c r="A35" s="4">
        <v>17.14</v>
      </c>
      <c r="B35" s="4">
        <v>17.350000000000001</v>
      </c>
      <c r="C35" s="4">
        <v>17.239999999999998</v>
      </c>
      <c r="D35" s="4">
        <v>16.38</v>
      </c>
      <c r="E35" s="4">
        <v>16.12</v>
      </c>
      <c r="F35" s="4">
        <v>15.27</v>
      </c>
      <c r="G35" s="4">
        <v>15.2</v>
      </c>
      <c r="H35" s="4">
        <v>16.02</v>
      </c>
      <c r="I35" s="4">
        <v>16.25</v>
      </c>
      <c r="J35" s="4">
        <v>16.16</v>
      </c>
      <c r="K35" s="4">
        <v>16.239999999999998</v>
      </c>
      <c r="L35" s="4">
        <v>16.57</v>
      </c>
      <c r="M35" s="4">
        <v>16.18</v>
      </c>
      <c r="N35" s="4">
        <v>15.59</v>
      </c>
      <c r="O35" s="4">
        <v>15.64</v>
      </c>
      <c r="P35" s="4">
        <v>15.54</v>
      </c>
      <c r="Q35" s="4">
        <v>16.260000000000002</v>
      </c>
      <c r="R35" s="4">
        <v>16.21</v>
      </c>
      <c r="S35" s="4">
        <v>16.2</v>
      </c>
      <c r="T35" s="4">
        <v>16.68</v>
      </c>
      <c r="U35" s="4">
        <v>16.25</v>
      </c>
      <c r="V35" s="4">
        <v>16.82</v>
      </c>
      <c r="W35" s="4">
        <v>16.95</v>
      </c>
      <c r="X35" s="4">
        <v>16.46</v>
      </c>
      <c r="Y35" s="4">
        <v>16.59</v>
      </c>
      <c r="Z35" s="4">
        <v>17.3</v>
      </c>
      <c r="AA35" s="4">
        <v>17.739999999999998</v>
      </c>
      <c r="AB35" s="4">
        <v>19.41</v>
      </c>
      <c r="AC35" s="4">
        <v>19.260000000000002</v>
      </c>
      <c r="AD35" s="4">
        <v>19.5</v>
      </c>
      <c r="AE35" s="4">
        <v>19.600000000000001</v>
      </c>
      <c r="AF35" s="4">
        <v>19.579999999999998</v>
      </c>
      <c r="AG35" s="4">
        <v>18.97</v>
      </c>
      <c r="AH35" s="4">
        <v>17.510000000000002</v>
      </c>
      <c r="AI35" s="4">
        <v>17.079999999999998</v>
      </c>
      <c r="AJ35" s="4">
        <v>16.07</v>
      </c>
      <c r="AK35" s="4">
        <v>15.47</v>
      </c>
      <c r="AL35" s="4">
        <v>15.92</v>
      </c>
      <c r="AM35" s="4">
        <v>16.25</v>
      </c>
      <c r="AN35" s="4">
        <v>15.87</v>
      </c>
      <c r="AO35" s="4">
        <v>15.86</v>
      </c>
      <c r="AP35" s="4">
        <v>16.350000000000001</v>
      </c>
      <c r="AQ35" s="4">
        <v>15.36</v>
      </c>
      <c r="AR35" s="4">
        <v>15.69</v>
      </c>
      <c r="AS35" s="4">
        <v>15.84</v>
      </c>
      <c r="AT35" s="4">
        <v>15.71</v>
      </c>
      <c r="AU35" s="4">
        <v>16.004999999999999</v>
      </c>
      <c r="AV35" s="4">
        <v>15.95</v>
      </c>
      <c r="AW35" s="4">
        <v>14.75</v>
      </c>
      <c r="AX35" s="4">
        <v>14.28</v>
      </c>
      <c r="AY35" s="12">
        <v>14.55</v>
      </c>
      <c r="AZ35" s="12">
        <v>14.99</v>
      </c>
      <c r="BA35" s="12">
        <v>14.68</v>
      </c>
      <c r="BB35" s="18">
        <v>14.5</v>
      </c>
      <c r="BC35" s="63">
        <v>15.2</v>
      </c>
      <c r="BD35" s="63">
        <v>14.96</v>
      </c>
      <c r="BE35" s="63">
        <v>14.54</v>
      </c>
      <c r="BF35" s="63">
        <v>15.01</v>
      </c>
      <c r="BG35" s="91" cm="1">
        <f t="array" aca="1" ref="BG35" ca="1">_FV(EE35,"Preço")</f>
        <v>14.96</v>
      </c>
      <c r="BH35" s="93" t="s">
        <v>33</v>
      </c>
      <c r="BI35" s="32" cm="1">
        <f t="array" aca="1" ref="BI35" ca="1">_FV(EE35,"Beta")</f>
        <v>0.65139999999999998</v>
      </c>
      <c r="BJ35" s="96" cm="1">
        <f t="array" aca="1" ref="BJ35" ca="1">_FV(EE35,"Variação (%)",TRUE)</f>
        <v>-1.7083000000000001E-2</v>
      </c>
      <c r="BK35" s="49"/>
      <c r="BL35" s="49"/>
      <c r="BN35" s="32"/>
      <c r="BO35" s="20" cm="1">
        <f t="array" aca="1" ref="BO35" ca="1">_FV(EE35,"Baixo")</f>
        <v>14.96</v>
      </c>
      <c r="BP35" s="20" cm="1">
        <f t="array" aca="1" ref="BP35" ca="1">_FV(EE35,"Alto")</f>
        <v>15.36</v>
      </c>
      <c r="BQ35" s="32"/>
      <c r="BR35" s="74">
        <f ca="1">SQRT(22.5*(BG35/VLOOKUP(BH35,Fundamentus!A:U,3,FALSE))*(BG35/VLOOKUP(BH35,Fundamentus!A:U,4,FALSE)))</f>
        <v>31.07687487342854</v>
      </c>
      <c r="BT35" s="73">
        <f t="shared" ca="1" si="0"/>
        <v>-3.3311125916055252E-3</v>
      </c>
      <c r="BU35" s="36">
        <f t="shared" si="1"/>
        <v>-0.15169194865810975</v>
      </c>
      <c r="BV35" s="8"/>
      <c r="BW35" s="72">
        <f t="shared" si="2"/>
        <v>14.28</v>
      </c>
      <c r="BX35" s="72">
        <f t="shared" si="3"/>
        <v>16.328706896551729</v>
      </c>
      <c r="BY35" s="72">
        <f t="shared" si="4"/>
        <v>19.600000000000001</v>
      </c>
      <c r="BZ35" s="17"/>
      <c r="CA35" s="17"/>
      <c r="CB35" s="43">
        <f t="shared" si="5"/>
        <v>14.196851207438788</v>
      </c>
      <c r="CC35" s="18">
        <f t="shared" si="6"/>
        <v>14.678800374882826</v>
      </c>
      <c r="CD35" s="43">
        <f t="shared" si="7"/>
        <v>15.160749542326863</v>
      </c>
      <c r="CE35" s="98">
        <f t="shared" ca="1" si="8"/>
        <v>0.58346324490710311</v>
      </c>
      <c r="CF35" s="17"/>
      <c r="CG35" s="20">
        <f t="shared" si="9"/>
        <v>7.6733333333333302</v>
      </c>
      <c r="CH35" s="20">
        <f t="shared" si="10"/>
        <v>10.976666666666665</v>
      </c>
      <c r="CI35" s="20">
        <f t="shared" si="11"/>
        <v>12.993333333333332</v>
      </c>
      <c r="CJ35" s="49">
        <f t="shared" si="12"/>
        <v>16.296666666666667</v>
      </c>
      <c r="CK35" s="20">
        <f t="shared" si="13"/>
        <v>18.313333333333333</v>
      </c>
      <c r="CL35" s="20">
        <f t="shared" si="14"/>
        <v>21.616666666666667</v>
      </c>
      <c r="CM35" s="20">
        <f t="shared" si="15"/>
        <v>23.633333333333336</v>
      </c>
      <c r="CN35" s="2" cm="1">
        <f t="array" aca="1" ref="CN35" ca="1">MAX(_xlfn._xlws.FILTER(CG35:CM35,CG35:CM35&lt;BG35))</f>
        <v>12.993333333333332</v>
      </c>
      <c r="CO35" s="2" cm="1">
        <f t="array" aca="1" ref="CO35" ca="1">MIN(_xlfn._xlws.FILTER($CG35:$CM35,$CG35:$CM35&gt;BG35))</f>
        <v>16.296666666666667</v>
      </c>
      <c r="CP35" s="19">
        <f t="shared" ca="1" si="65"/>
        <v>0.25423293996921514</v>
      </c>
      <c r="CQ35" s="23">
        <f t="shared" ca="1" si="66"/>
        <v>-0.12711646998460757</v>
      </c>
      <c r="CR35" s="23">
        <f t="shared" ca="1" si="67"/>
        <v>-8.474431332307171E-2</v>
      </c>
      <c r="CS35" s="23">
        <f t="shared" ca="1" si="68"/>
        <v>-5.0846587993843027E-2</v>
      </c>
      <c r="CT35" s="23">
        <f t="shared" ca="1" si="69"/>
        <v>-2.8248104441023904E-2</v>
      </c>
      <c r="CU35" s="23">
        <f t="shared" ca="1" si="70"/>
        <v>-1.4954878821718538E-2</v>
      </c>
      <c r="CV35" s="23">
        <f t="shared" ca="1" si="71"/>
        <v>-7.7040284839156106E-3</v>
      </c>
      <c r="CW35" s="23">
        <f t="shared" ca="1" si="72"/>
        <v>-3.9112759995263867E-3</v>
      </c>
      <c r="CX35" s="24">
        <f t="shared" ca="1" si="73"/>
        <v>3.9112759995263867E-3</v>
      </c>
      <c r="CY35" s="24">
        <f t="shared" ca="1" si="74"/>
        <v>7.7040284839156106E-3</v>
      </c>
      <c r="CZ35" s="24">
        <f t="shared" ca="1" si="75"/>
        <v>1.4954878821718538E-2</v>
      </c>
      <c r="DA35" s="24">
        <f t="shared" ca="1" si="76"/>
        <v>2.8248104441023904E-2</v>
      </c>
      <c r="DB35" s="24">
        <f t="shared" ca="1" si="77"/>
        <v>5.0846587993843027E-2</v>
      </c>
      <c r="DC35" s="24">
        <f t="shared" ca="1" si="78"/>
        <v>8.474431332307171E-2</v>
      </c>
      <c r="DD35" s="24">
        <f t="shared" ca="1" si="79"/>
        <v>0.12711646998460757</v>
      </c>
      <c r="DF35" s="19" cm="1">
        <f t="array" aca="1" ref="DF35" ca="1">MAX(_xlfn._xlws.FILTER(CQ35:DD35,CQ35:DD35&lt;BJ35))</f>
        <v>-2.8248104441023904E-2</v>
      </c>
      <c r="DG35" s="19" cm="1">
        <f t="array" aca="1" ref="DG35" ca="1">MIN(_xlfn._xlws.FILTER(CQ35:DD35,CQ35:DD35&gt;BJ35))</f>
        <v>-1.4954878821718538E-2</v>
      </c>
      <c r="DH35" s="2" cm="1">
        <f t="array" aca="1" ref="DH35" ca="1">_FV(EE35,"Fechamento anterior",TRUE)</f>
        <v>15.22</v>
      </c>
      <c r="DI35" s="36">
        <f t="shared" ca="1" si="22"/>
        <v>0.83992545922501183</v>
      </c>
      <c r="DJ35" s="18">
        <f t="shared" ca="1" si="80"/>
        <v>14.790063850407616</v>
      </c>
      <c r="DK35" s="18">
        <f t="shared" ca="1" si="81"/>
        <v>14.992386744333444</v>
      </c>
      <c r="DL35" s="9"/>
      <c r="DM35" s="9"/>
      <c r="DN35" s="9"/>
      <c r="DO35" s="9"/>
      <c r="DP35" s="79">
        <v>5.5361844446025748E-3</v>
      </c>
      <c r="DQ35" s="79">
        <v>1.5993421728851879E-2</v>
      </c>
      <c r="DR35" s="79">
        <v>9.4078951346187566E-3</v>
      </c>
      <c r="DS35" s="79">
        <f t="shared" ca="1" si="25"/>
        <v>1.3293225619305366E-2</v>
      </c>
      <c r="DT35" s="47"/>
      <c r="DU35" s="43">
        <f t="shared" si="26"/>
        <v>0.24097458372201844</v>
      </c>
      <c r="DV35" s="83">
        <f t="shared" ca="1" si="27"/>
        <v>1.0774999999999999</v>
      </c>
      <c r="DW35" s="83">
        <f t="shared" ca="1" si="28"/>
        <v>2.3597000000000001</v>
      </c>
      <c r="DX35" s="83">
        <f t="shared" ca="1" si="29"/>
        <v>-1.2822000000000002</v>
      </c>
      <c r="DY35" s="67"/>
      <c r="DZ35" s="67"/>
      <c r="EA35" s="85"/>
      <c r="EB35" s="44">
        <v>33800</v>
      </c>
      <c r="EC35" s="44" cm="1">
        <f t="array" aca="1" ref="EC35" ca="1">_FV(EE35,"Volume")</f>
        <v>97400</v>
      </c>
      <c r="EE35" s="2" t="e" vm="35">
        <v>#VALUE!</v>
      </c>
      <c r="EG35" s="10" cm="1">
        <f t="array" aca="1" ref="EG35" ca="1">_FV(EE35,"Ações em circulação",TRUE)</f>
        <v>2028195000</v>
      </c>
      <c r="EH35" s="21">
        <f>VLOOKUP(BH35,Fundamentus!A:U,5,FALSE)</f>
        <v>0.45500000000000002</v>
      </c>
      <c r="EI35" s="2">
        <f t="shared" ca="1" si="30"/>
        <v>66685268571.428566</v>
      </c>
      <c r="EJ35" s="20">
        <v>3245045136.4285712</v>
      </c>
      <c r="EK35" s="20">
        <f t="shared" ca="1" si="31"/>
        <v>3234235525.7142854</v>
      </c>
      <c r="EM35" s="40" t="str">
        <f>IF(VLOOKUP(BH35,Fundamentus!A:U,3,FALSE)&lt;15,"Bom",IF(VLOOKUP(BH35,Fundamentus!A:U,3,FALSE)&gt;15,"Ruim","n/a"))</f>
        <v>Bom</v>
      </c>
      <c r="EN35" s="36" t="str">
        <f>IF(VLOOKUP(BH35,Fundamentus!A:U,4,FALSE)&lt;1,"Baixo",IF(VLOOKUP(BH35,Fundamentus!A:U,4,FALSE)&lt;1.5,"Moderado",IF(VLOOKUP(BH35,Fundamentus!A:U,4,FALSE)&gt;1.5,"Alto","n/a")))</f>
        <v>Baixo</v>
      </c>
      <c r="EO35" s="20" t="str">
        <f>IF(VLOOKUP(BH35,Fundamentus!A:U,8,FALSE)&lt;0,"Risco elevado",IF(VLOOKUP(BH35,Fundamentus!A:U,8,FALSE)&lt;1,"Saudável",IF(VLOOKUP(BH35,Fundamentus!A:U,8,FALSE)&lt;3,"Estável",IF(VLOOKUP(BH35,Fundamentus!A:U,8,FALSE)&gt;3,"Alerta","n/a"))))</f>
        <v>Estável</v>
      </c>
      <c r="EP35" s="36" t="str">
        <f t="shared" si="32"/>
        <v>Ruim</v>
      </c>
      <c r="EQ35" s="20" t="str">
        <f>IF(VLOOKUP(BH35,Fundamentus!A:U,12,FALSE)&lt;2,"Subvalorizada",IF(VLOOKUP(BH35,Fundamentus!A:U,12,FALSE)&lt;6,"Muita barata",IF(VLOOKUP(BH35,Fundamentus!A:U,12,FALSE)&lt;6,"Barata",IF(VLOOKUP(BH35,Fundamentus!A:U,12,FALSE)&lt;8,"Atrativa",IF(VLOOKUP(BH35,Fundamentus!A:U,12,FALSE)&gt;8,"Supervalorizada","n/a")))))</f>
        <v>Muita barata</v>
      </c>
      <c r="ES35" s="20" t="str">
        <f>IF(VLOOKUP(BH35,Fundamentus!A:U,17,FALSE)&lt;0.1,"Fraco retorno",IF(VLOOKUP(BH35,Fundamentus!A:U,17,FALSE)&gt;0.1,"Bom retorno","n/a"))</f>
        <v>Fraco retorno</v>
      </c>
      <c r="ET35" s="20" t="str">
        <f>IF(VLOOKUP(BH35,Fundamentus!A:U,16,FALSE)&lt;0.1,"Ineficiente",IF(VLOOKUP(BH35,Fundamentus!A:U,16,FALSE)&gt;0.1,"Eficiente","n/a"))</f>
        <v>Ineficiente</v>
      </c>
      <c r="EU35" s="41" t="str">
        <f>IF(VLOOKUP(BH35,Fundamentus!A:U,16,FALSE)&lt;0.1,"Oper. Ineficiente",IF(VLOOKUP(BH35,Fundamentus!A:U,16,FALSE)&gt;0.1,"Oper.Eficiente","n/a"))</f>
        <v>Oper. Ineficiente</v>
      </c>
      <c r="EV35" s="42">
        <f>VLOOKUP(BH35,Fundamentus!A:U,14,FALSE)</f>
        <v>4.8500000000000001E-2</v>
      </c>
      <c r="EW35" s="20" t="str">
        <f>IF(VLOOKUP(BH35,Fundamentus!A:U,21,FALSE)&lt;0,"Negativo",IF(VLOOKUP(BH35,Fundamentus!A:U,21,FALSE)&lt;0.05,"Fraco",IF(VLOOKUP(BH35,Fundamentus!A:U,21,FALSE)&lt;0.1,"Bom",IF(VLOOKUP(BH35,Fundamentus!A:U,21,FALSE)&gt;0.1,"Muito bom","n/a"))))</f>
        <v>Fraco</v>
      </c>
      <c r="EY35" s="37" t="str">
        <f>IF(VLOOKUP(BH35,Fundamentus!A:U,15,FALSE)&gt;1,"Bom",IF(VLOOKUP(BH35,Fundamentus!A:U,15,FALSE)&lt;1,"Ruim","n/a"))</f>
        <v>Bom</v>
      </c>
      <c r="EZ35" s="20" t="str">
        <f>IF(VLOOKUP(BH35,Fundamentus!A:U,20,FALSE)&lt;0.5,"Baixa",IF(VLOOKUP(BH35,Fundamentus!A:U,20,FALSE)&lt;1,"Moderada",IF(VLOOKUP(BH35,Fundamentus!A:U,20,FALSE)&lt;2,"Alerta",IF(VLOOKUP(BH35,Fundamentus!A:U,20,FALSE)&gt;2,"Alta","n/a"))))</f>
        <v>Baixa</v>
      </c>
    </row>
    <row r="36" spans="1:156" s="5" customFormat="1" ht="11.25" hidden="1" x14ac:dyDescent="0.2">
      <c r="A36" s="4">
        <v>11.34</v>
      </c>
      <c r="B36" s="4">
        <v>11.53</v>
      </c>
      <c r="C36" s="4">
        <v>10.68</v>
      </c>
      <c r="D36" s="4">
        <v>10.25</v>
      </c>
      <c r="E36" s="4">
        <v>9.92</v>
      </c>
      <c r="F36" s="4">
        <v>9.73</v>
      </c>
      <c r="G36" s="4">
        <v>9.52</v>
      </c>
      <c r="H36" s="4">
        <v>8.91</v>
      </c>
      <c r="I36" s="4">
        <v>9</v>
      </c>
      <c r="J36" s="4">
        <v>10.14</v>
      </c>
      <c r="K36" s="4">
        <v>10.67</v>
      </c>
      <c r="L36" s="4">
        <v>10.25</v>
      </c>
      <c r="M36" s="4">
        <v>9.17</v>
      </c>
      <c r="N36" s="4">
        <v>9.57</v>
      </c>
      <c r="O36" s="4">
        <v>9.77</v>
      </c>
      <c r="P36" s="4">
        <v>9.25</v>
      </c>
      <c r="Q36" s="4">
        <v>9.3000000000000007</v>
      </c>
      <c r="R36" s="4">
        <v>8.9700000000000006</v>
      </c>
      <c r="S36" s="4">
        <v>9.27</v>
      </c>
      <c r="T36" s="4">
        <v>9.11</v>
      </c>
      <c r="U36" s="4">
        <v>8.6</v>
      </c>
      <c r="V36" s="4">
        <v>9.2799999999999994</v>
      </c>
      <c r="W36" s="4">
        <v>8.35</v>
      </c>
      <c r="X36" s="4">
        <v>7.35</v>
      </c>
      <c r="Y36" s="4">
        <v>6.92</v>
      </c>
      <c r="Z36" s="4">
        <v>7.01</v>
      </c>
      <c r="AA36" s="4">
        <v>7.54</v>
      </c>
      <c r="AB36" s="4">
        <v>6.95</v>
      </c>
      <c r="AC36" s="4">
        <v>6.61</v>
      </c>
      <c r="AD36" s="4">
        <v>6.64</v>
      </c>
      <c r="AE36" s="4">
        <v>6.4</v>
      </c>
      <c r="AF36" s="4">
        <v>5.94</v>
      </c>
      <c r="AG36" s="4">
        <v>5.86</v>
      </c>
      <c r="AH36" s="4">
        <v>5.69</v>
      </c>
      <c r="AI36" s="4">
        <v>5.37</v>
      </c>
      <c r="AJ36" s="4">
        <v>5.31</v>
      </c>
      <c r="AK36" s="4">
        <v>5.49</v>
      </c>
      <c r="AL36" s="4">
        <v>5.65</v>
      </c>
      <c r="AM36" s="4">
        <v>5.8</v>
      </c>
      <c r="AN36" s="4">
        <v>6.19</v>
      </c>
      <c r="AO36" s="4">
        <v>6.21</v>
      </c>
      <c r="AP36" s="4">
        <v>7.39</v>
      </c>
      <c r="AQ36" s="4">
        <v>7.2</v>
      </c>
      <c r="AR36" s="4">
        <v>7.25</v>
      </c>
      <c r="AS36" s="4">
        <v>7.39</v>
      </c>
      <c r="AT36" s="4">
        <v>7.45</v>
      </c>
      <c r="AU36" s="4">
        <v>7.4450000000000003</v>
      </c>
      <c r="AV36" s="4">
        <v>7.36</v>
      </c>
      <c r="AW36" s="4">
        <v>8.23</v>
      </c>
      <c r="AX36" s="4">
        <v>8.2899999999999991</v>
      </c>
      <c r="AY36" s="12">
        <v>8.42</v>
      </c>
      <c r="AZ36" s="12">
        <v>8.64</v>
      </c>
      <c r="BA36" s="12">
        <v>8.5500000000000007</v>
      </c>
      <c r="BB36" s="18">
        <v>8.4700000000000006</v>
      </c>
      <c r="BC36" s="63">
        <v>8.48</v>
      </c>
      <c r="BD36" s="63">
        <v>8.4499999999999993</v>
      </c>
      <c r="BE36" s="63">
        <v>8.48</v>
      </c>
      <c r="BF36" s="63">
        <v>8.48</v>
      </c>
      <c r="BG36" s="91" cm="1">
        <f t="array" aca="1" ref="BG36" ca="1">_FV(EE36,"Preço")</f>
        <v>8.48</v>
      </c>
      <c r="BH36" s="93" t="s">
        <v>34</v>
      </c>
      <c r="BI36" s="32" cm="1">
        <f t="array" aca="1" ref="BI36" ca="1">_FV(EE36,"Beta")</f>
        <v>1.3414999999999999</v>
      </c>
      <c r="BJ36" s="96" cm="1">
        <f t="array" aca="1" ref="BJ36" ca="1">_FV(EE36,"Variação (%)",TRUE)</f>
        <v>0</v>
      </c>
      <c r="BK36" s="49"/>
      <c r="BL36" s="49"/>
      <c r="BN36" s="32"/>
      <c r="BO36" s="20" cm="1">
        <f t="array" aca="1" ref="BO36" ca="1">_FV(EE36,"Baixo")</f>
        <v>8.44</v>
      </c>
      <c r="BP36" s="20" cm="1">
        <f t="array" aca="1" ref="BP36" ca="1">_FV(EE36,"Alto")</f>
        <v>8.5399999999999991</v>
      </c>
      <c r="BQ36" s="32"/>
      <c r="BR36" s="74">
        <f ca="1">SQRT(22.5*(BG36/VLOOKUP(BH36,Fundamentus!A:U,3,FALSE))*(BG36/VLOOKUP(BH36,Fundamentus!A:U,4,FALSE)))</f>
        <v>14.368524999267921</v>
      </c>
      <c r="BT36" s="73">
        <f t="shared" ca="1" si="0"/>
        <v>0</v>
      </c>
      <c r="BU36" s="36">
        <f t="shared" si="1"/>
        <v>-0.2522045855379188</v>
      </c>
      <c r="BV36" s="8"/>
      <c r="BW36" s="72">
        <f t="shared" si="2"/>
        <v>5.31</v>
      </c>
      <c r="BX36" s="72">
        <f t="shared" si="3"/>
        <v>8.1290517241379305</v>
      </c>
      <c r="BY36" s="72">
        <f t="shared" si="4"/>
        <v>11.53</v>
      </c>
      <c r="BZ36" s="17"/>
      <c r="CA36" s="17"/>
      <c r="CB36" s="43">
        <f t="shared" si="5"/>
        <v>8.4530070541938684</v>
      </c>
      <c r="CC36" s="18">
        <f t="shared" si="6"/>
        <v>8.4789878163074022</v>
      </c>
      <c r="CD36" s="43">
        <f t="shared" si="7"/>
        <v>8.5049685784209359</v>
      </c>
      <c r="CE36" s="98">
        <f t="shared" ca="1" si="8"/>
        <v>3.8958968492729326E-2</v>
      </c>
      <c r="CF36" s="17"/>
      <c r="CG36" s="20">
        <f t="shared" si="9"/>
        <v>-0.87000000000000011</v>
      </c>
      <c r="CH36" s="20">
        <f t="shared" si="10"/>
        <v>2.2199999999999998</v>
      </c>
      <c r="CI36" s="20">
        <f t="shared" si="11"/>
        <v>5.35</v>
      </c>
      <c r="CJ36" s="49">
        <f t="shared" si="12"/>
        <v>8.44</v>
      </c>
      <c r="CK36" s="20">
        <f t="shared" si="13"/>
        <v>11.57</v>
      </c>
      <c r="CL36" s="20">
        <f t="shared" si="14"/>
        <v>14.66</v>
      </c>
      <c r="CM36" s="20">
        <f t="shared" si="15"/>
        <v>17.79</v>
      </c>
      <c r="CN36" s="2" cm="1">
        <f t="array" aca="1" ref="CN36" ca="1">MAX(_xlfn._xlws.FILTER(CG36:CM36,CG36:CM36&lt;BG36))</f>
        <v>8.44</v>
      </c>
      <c r="CO36" s="2" cm="1">
        <f t="array" aca="1" ref="CO36" ca="1">MIN(_xlfn._xlws.FILTER($CG36:$CM36,$CG36:$CM36&gt;BG36))</f>
        <v>11.57</v>
      </c>
      <c r="CP36" s="19">
        <f t="shared" ca="1" si="65"/>
        <v>0.37085308056872046</v>
      </c>
      <c r="CQ36" s="23">
        <f t="shared" ca="1" si="66"/>
        <v>-0.18542654028436023</v>
      </c>
      <c r="CR36" s="23">
        <f t="shared" ca="1" si="67"/>
        <v>-0.12361769352290682</v>
      </c>
      <c r="CS36" s="23">
        <f t="shared" ca="1" si="68"/>
        <v>-7.4170616113744092E-2</v>
      </c>
      <c r="CT36" s="23">
        <f t="shared" ca="1" si="69"/>
        <v>-4.1205897840968939E-2</v>
      </c>
      <c r="CU36" s="23">
        <f t="shared" ca="1" si="70"/>
        <v>-2.1814887092277673E-2</v>
      </c>
      <c r="CV36" s="23">
        <f t="shared" ca="1" si="71"/>
        <v>-1.1237972138446075E-2</v>
      </c>
      <c r="CW36" s="23">
        <f t="shared" ca="1" si="72"/>
        <v>-5.7054320087495452E-3</v>
      </c>
      <c r="CX36" s="24">
        <f t="shared" ca="1" si="73"/>
        <v>5.7054320087495452E-3</v>
      </c>
      <c r="CY36" s="24">
        <f t="shared" ca="1" si="74"/>
        <v>1.1237972138446075E-2</v>
      </c>
      <c r="CZ36" s="24">
        <f t="shared" ca="1" si="75"/>
        <v>2.1814887092277673E-2</v>
      </c>
      <c r="DA36" s="24">
        <f t="shared" ca="1" si="76"/>
        <v>4.1205897840968939E-2</v>
      </c>
      <c r="DB36" s="24">
        <f t="shared" ca="1" si="77"/>
        <v>7.4170616113744092E-2</v>
      </c>
      <c r="DC36" s="24">
        <f t="shared" ca="1" si="78"/>
        <v>0.12361769352290682</v>
      </c>
      <c r="DD36" s="24">
        <f t="shared" ca="1" si="79"/>
        <v>0.18542654028436023</v>
      </c>
      <c r="DF36" s="19" cm="1">
        <f t="array" aca="1" ref="DF36" ca="1">MAX(_xlfn._xlws.FILTER(CQ36:DD36,CQ36:DD36&lt;BJ36))</f>
        <v>-5.7054320087495452E-3</v>
      </c>
      <c r="DG36" s="19" cm="1">
        <f t="array" aca="1" ref="DG36" ca="1">MIN(_xlfn._xlws.FILTER(CQ36:DD36,CQ36:DD36&gt;BJ36))</f>
        <v>5.7054320087495452E-3</v>
      </c>
      <c r="DH36" s="2" cm="1">
        <f t="array" aca="1" ref="DH36" ca="1">_FV(EE36,"Fechamento anterior",TRUE)</f>
        <v>8.4499999999999993</v>
      </c>
      <c r="DI36" s="36">
        <f t="shared" ca="1" si="22"/>
        <v>0.81113295650038564</v>
      </c>
      <c r="DJ36" s="18">
        <f t="shared" ca="1" si="80"/>
        <v>8.4017890995260665</v>
      </c>
      <c r="DK36" s="18">
        <f t="shared" ca="1" si="81"/>
        <v>8.4982109004739321</v>
      </c>
      <c r="DL36" s="9"/>
      <c r="DM36" s="9"/>
      <c r="DN36" s="9"/>
      <c r="DO36" s="9"/>
      <c r="DP36" s="79">
        <v>9.0597505388502215E-3</v>
      </c>
      <c r="DQ36" s="79">
        <v>9.0597505388502215E-3</v>
      </c>
      <c r="DR36" s="79">
        <v>9.0597505388502215E-3</v>
      </c>
      <c r="DS36" s="79">
        <f t="shared" ca="1" si="25"/>
        <v>1.141086401749909E-2</v>
      </c>
      <c r="DT36" s="47"/>
      <c r="DU36" s="43">
        <f t="shared" si="26"/>
        <v>1.2990381056767071E-2</v>
      </c>
      <c r="DV36" s="83">
        <f t="shared" ca="1" si="27"/>
        <v>1.7675999999999998</v>
      </c>
      <c r="DW36" s="83">
        <f t="shared" ca="1" si="28"/>
        <v>1.3414999999999999</v>
      </c>
      <c r="DX36" s="83">
        <f t="shared" ca="1" si="29"/>
        <v>0.42609999999999992</v>
      </c>
      <c r="DY36" s="67"/>
      <c r="DZ36" s="67"/>
      <c r="EA36" s="85"/>
      <c r="EB36" s="44">
        <v>14418400</v>
      </c>
      <c r="EC36" s="44" cm="1">
        <f t="array" aca="1" ref="EC36" ca="1">_FV(EE36,"Volume")</f>
        <v>14418400</v>
      </c>
      <c r="EE36" s="5" t="e" vm="36">
        <v>#VALUE!</v>
      </c>
      <c r="EG36" s="10" cm="1">
        <f t="array" aca="1" ref="EG36" ca="1">_FV(EE36,"Ações em circulação",TRUE)</f>
        <v>2109057000</v>
      </c>
      <c r="EH36" s="21">
        <f>VLOOKUP(BH36,Fundamentus!A:U,5,FALSE)</f>
        <v>0.153</v>
      </c>
      <c r="EI36" s="2">
        <f t="shared" ca="1" si="30"/>
        <v>116894139607.84314</v>
      </c>
      <c r="EJ36" s="20">
        <v>2127473340.8627453</v>
      </c>
      <c r="EK36" s="20">
        <f t="shared" ca="1" si="31"/>
        <v>2127473340.8627453</v>
      </c>
      <c r="EL36" s="2"/>
      <c r="EM36" s="40" t="str">
        <f>IF(VLOOKUP(BH36,Fundamentus!A:U,3,FALSE)&lt;15,"Bom",IF(VLOOKUP(BH36,Fundamentus!A:U,3,FALSE)&gt;15,"Ruim","n/a"))</f>
        <v>Bom</v>
      </c>
      <c r="EN36" s="36" t="str">
        <f>IF(VLOOKUP(BH36,Fundamentus!A:U,4,FALSE)&lt;1,"Baixo",IF(VLOOKUP(BH36,Fundamentus!A:U,4,FALSE)&lt;1.5,"Moderado",IF(VLOOKUP(BH36,Fundamentus!A:U,4,FALSE)&gt;1.5,"Alto","n/a")))</f>
        <v>Baixo</v>
      </c>
      <c r="EO36" s="20" t="str">
        <f>IF(VLOOKUP(BH36,Fundamentus!A:U,8,FALSE)&lt;0,"Risco elevado",IF(VLOOKUP(BH36,Fundamentus!A:U,8,FALSE)&lt;1,"Saudável",IF(VLOOKUP(BH36,Fundamentus!A:U,8,FALSE)&lt;3,"Estável",IF(VLOOKUP(BH36,Fundamentus!A:U,8,FALSE)&gt;3,"Alerta","n/a"))))</f>
        <v>Alerta</v>
      </c>
      <c r="EP36" s="36" t="str">
        <f t="shared" si="32"/>
        <v>Ruim</v>
      </c>
      <c r="EQ36" s="20" t="str">
        <f>IF(VLOOKUP(BH36,Fundamentus!A:U,12,FALSE)&lt;2,"Subvalorizada",IF(VLOOKUP(BH36,Fundamentus!A:U,12,FALSE)&lt;6,"Muita barata",IF(VLOOKUP(BH36,Fundamentus!A:U,12,FALSE)&lt;6,"Barata",IF(VLOOKUP(BH36,Fundamentus!A:U,12,FALSE)&lt;8,"Atrativa",IF(VLOOKUP(BH36,Fundamentus!A:U,12,FALSE)&gt;8,"Supervalorizada","n/a")))))</f>
        <v>Muita barata</v>
      </c>
      <c r="ER36" s="2"/>
      <c r="ES36" s="20" t="str">
        <f>IF(VLOOKUP(BH36,Fundamentus!A:U,17,FALSE)&lt;0.1,"Fraco retorno",IF(VLOOKUP(BH36,Fundamentus!A:U,17,FALSE)&gt;0.1,"Bom retorno","n/a"))</f>
        <v>Fraco retorno</v>
      </c>
      <c r="ET36" s="20" t="str">
        <f>IF(VLOOKUP(BH36,Fundamentus!A:U,16,FALSE)&lt;0.1,"Ineficiente",IF(VLOOKUP(BH36,Fundamentus!A:U,16,FALSE)&gt;0.1,"Eficiente","n/a"))</f>
        <v>Ineficiente</v>
      </c>
      <c r="EU36" s="41" t="str">
        <f>IF(VLOOKUP(BH36,Fundamentus!A:U,16,FALSE)&lt;0.1,"Oper. Ineficiente",IF(VLOOKUP(BH36,Fundamentus!A:U,16,FALSE)&gt;0.1,"Oper.Eficiente","n/a"))</f>
        <v>Oper. Ineficiente</v>
      </c>
      <c r="EV36" s="42">
        <f>VLOOKUP(BH36,Fundamentus!A:U,14,FALSE)</f>
        <v>1.8200000000000001E-2</v>
      </c>
      <c r="EW36" s="20" t="str">
        <f>IF(VLOOKUP(BH36,Fundamentus!A:U,21,FALSE)&lt;0,"Negativo",IF(VLOOKUP(BH36,Fundamentus!A:U,21,FALSE)&lt;0.05,"Fraco",IF(VLOOKUP(BH36,Fundamentus!A:U,21,FALSE)&lt;0.1,"Bom",IF(VLOOKUP(BH36,Fundamentus!A:U,21,FALSE)&gt;0.1,"Muito bom","n/a"))))</f>
        <v>Muito bom</v>
      </c>
      <c r="EY36" s="37" t="str">
        <f>IF(VLOOKUP(BH36,Fundamentus!A:U,15,FALSE)&gt;1,"Bom",IF(VLOOKUP(BH36,Fundamentus!A:U,15,FALSE)&lt;1,"Ruim","n/a"))</f>
        <v>n/a</v>
      </c>
      <c r="EZ36" s="20" t="str">
        <f>IF(VLOOKUP(BH36,Fundamentus!A:U,20,FALSE)&lt;0.5,"Baixa",IF(VLOOKUP(BH36,Fundamentus!A:U,20,FALSE)&lt;1,"Moderada",IF(VLOOKUP(BH36,Fundamentus!A:U,20,FALSE)&lt;2,"Alerta",IF(VLOOKUP(BH36,Fundamentus!A:U,20,FALSE)&gt;2,"Alta","n/a"))))</f>
        <v>Alerta</v>
      </c>
    </row>
    <row r="37" spans="1:156" s="2" customFormat="1" ht="11.25" hidden="1" x14ac:dyDescent="0.2">
      <c r="A37" s="4">
        <v>5.07</v>
      </c>
      <c r="B37" s="4">
        <v>5.12</v>
      </c>
      <c r="C37" s="4">
        <v>5.5</v>
      </c>
      <c r="D37" s="4">
        <v>5.33</v>
      </c>
      <c r="E37" s="4">
        <v>5.15</v>
      </c>
      <c r="F37" s="4">
        <v>5.14</v>
      </c>
      <c r="G37" s="4">
        <v>5.01</v>
      </c>
      <c r="H37" s="4">
        <v>5.0199999999999996</v>
      </c>
      <c r="I37" s="4">
        <v>5.23</v>
      </c>
      <c r="J37" s="4">
        <v>5.16</v>
      </c>
      <c r="K37" s="4">
        <v>5.09</v>
      </c>
      <c r="L37" s="4">
        <v>5</v>
      </c>
      <c r="M37" s="4">
        <v>5.03</v>
      </c>
      <c r="N37" s="4">
        <v>5.26</v>
      </c>
      <c r="O37" s="4">
        <v>5.3</v>
      </c>
      <c r="P37" s="4">
        <v>5.41</v>
      </c>
      <c r="Q37" s="4">
        <v>5.55</v>
      </c>
      <c r="R37" s="4">
        <v>5.4</v>
      </c>
      <c r="S37" s="4">
        <v>5.75</v>
      </c>
      <c r="T37" s="4">
        <v>6.08</v>
      </c>
      <c r="U37" s="4">
        <v>5.98</v>
      </c>
      <c r="V37" s="4">
        <v>5.68</v>
      </c>
      <c r="W37" s="4">
        <v>5.33</v>
      </c>
      <c r="X37" s="4">
        <v>5.24</v>
      </c>
      <c r="Y37" s="4">
        <v>5.26</v>
      </c>
      <c r="Z37" s="4">
        <v>5.19</v>
      </c>
      <c r="AA37" s="4">
        <v>5.01</v>
      </c>
      <c r="AB37" s="4">
        <v>4.97</v>
      </c>
      <c r="AC37" s="4">
        <v>5.0199999999999996</v>
      </c>
      <c r="AD37" s="4">
        <v>5.07</v>
      </c>
      <c r="AE37" s="4">
        <v>5.88</v>
      </c>
      <c r="AF37" s="4">
        <v>6.03</v>
      </c>
      <c r="AG37" s="4">
        <v>5.58</v>
      </c>
      <c r="AH37" s="4">
        <v>5.46</v>
      </c>
      <c r="AI37" s="4">
        <v>5.5</v>
      </c>
      <c r="AJ37" s="4">
        <v>5.3</v>
      </c>
      <c r="AK37" s="4">
        <v>5.16</v>
      </c>
      <c r="AL37" s="4">
        <v>5.0999999999999996</v>
      </c>
      <c r="AM37" s="4">
        <v>5.0599999999999996</v>
      </c>
      <c r="AN37" s="4">
        <v>5.15</v>
      </c>
      <c r="AO37" s="4">
        <v>5.4</v>
      </c>
      <c r="AP37" s="4">
        <v>5.6</v>
      </c>
      <c r="AQ37" s="4">
        <v>5.69</v>
      </c>
      <c r="AR37" s="4">
        <v>5.7</v>
      </c>
      <c r="AS37" s="4">
        <v>5.86</v>
      </c>
      <c r="AT37" s="4">
        <v>5.82</v>
      </c>
      <c r="AU37" s="4">
        <v>6.0350000000000001</v>
      </c>
      <c r="AV37" s="4">
        <v>5.6</v>
      </c>
      <c r="AW37" s="4">
        <v>5.73</v>
      </c>
      <c r="AX37" s="4">
        <v>5.44</v>
      </c>
      <c r="AY37" s="12">
        <v>5.67</v>
      </c>
      <c r="AZ37" s="12">
        <v>5.96</v>
      </c>
      <c r="BA37" s="12">
        <v>6.15</v>
      </c>
      <c r="BB37" s="18">
        <v>6.3</v>
      </c>
      <c r="BC37" s="63">
        <v>6.08</v>
      </c>
      <c r="BD37" s="63">
        <v>6.35</v>
      </c>
      <c r="BE37" s="63">
        <v>6.55</v>
      </c>
      <c r="BF37" s="63">
        <v>6.69</v>
      </c>
      <c r="BG37" s="91" cm="1">
        <f t="array" aca="1" ref="BG37" ca="1">_FV(EE37,"Preço")</f>
        <v>7.19</v>
      </c>
      <c r="BH37" s="93" t="s">
        <v>35</v>
      </c>
      <c r="BI37" s="32" cm="1">
        <f t="array" aca="1" ref="BI37" ca="1">_FV(EE37,"Beta")</f>
        <v>0.57999999999999996</v>
      </c>
      <c r="BJ37" s="96" cm="1">
        <f t="array" aca="1" ref="BJ37" ca="1">_FV(EE37,"Variação (%)",TRUE)</f>
        <v>2.7143E-2</v>
      </c>
      <c r="BK37" s="49"/>
      <c r="BL37" s="49"/>
      <c r="BN37" s="32"/>
      <c r="BO37" s="20" cm="1">
        <f t="array" aca="1" ref="BO37" ca="1">_FV(EE37,"Baixo")</f>
        <v>6.89</v>
      </c>
      <c r="BP37" s="20" cm="1">
        <f t="array" aca="1" ref="BP37" ca="1">_FV(EE37,"Alto")</f>
        <v>7.21</v>
      </c>
      <c r="BQ37" s="32"/>
      <c r="BR37" s="74">
        <f ca="1">SQRT(22.5*(BG37/VLOOKUP(BH37,Fundamentus!A:U,3,FALSE))*(BG37/VLOOKUP(BH37,Fundamentus!A:U,4,FALSE)))</f>
        <v>18.008045068422891</v>
      </c>
      <c r="BT37" s="73">
        <f t="shared" ca="1" si="0"/>
        <v>7.4738415545590423E-2</v>
      </c>
      <c r="BU37" s="36">
        <f t="shared" si="1"/>
        <v>0.29191321499013795</v>
      </c>
      <c r="BV37" s="8"/>
      <c r="BW37" s="72">
        <f t="shared" si="2"/>
        <v>4.97</v>
      </c>
      <c r="BX37" s="72">
        <f t="shared" si="3"/>
        <v>5.5033620689655178</v>
      </c>
      <c r="BY37" s="72">
        <f t="shared" si="4"/>
        <v>6.69</v>
      </c>
      <c r="BZ37" s="17"/>
      <c r="CA37" s="17"/>
      <c r="CB37" s="43">
        <f t="shared" si="5"/>
        <v>6.4541791238701425</v>
      </c>
      <c r="CC37" s="18">
        <f t="shared" si="6"/>
        <v>6.9127366447985423</v>
      </c>
      <c r="CD37" s="43">
        <f t="shared" si="7"/>
        <v>7.3712941657269422</v>
      </c>
      <c r="CE37" s="98">
        <f t="shared" ca="1" si="8"/>
        <v>0.60464247678264671</v>
      </c>
      <c r="CF37" s="17"/>
      <c r="CG37" s="20">
        <f t="shared" si="9"/>
        <v>3.8233333333333333</v>
      </c>
      <c r="CH37" s="20">
        <f t="shared" si="10"/>
        <v>4.3966666666666665</v>
      </c>
      <c r="CI37" s="20">
        <f t="shared" si="11"/>
        <v>5.5433333333333339</v>
      </c>
      <c r="CJ37" s="49">
        <f t="shared" si="12"/>
        <v>6.1166666666666671</v>
      </c>
      <c r="CK37" s="20">
        <f t="shared" si="13"/>
        <v>7.2633333333333345</v>
      </c>
      <c r="CL37" s="20">
        <f t="shared" si="14"/>
        <v>7.8366666666666678</v>
      </c>
      <c r="CM37" s="20">
        <f t="shared" si="15"/>
        <v>8.9833333333333343</v>
      </c>
      <c r="CN37" s="2" cm="1">
        <f t="array" aca="1" ref="CN37" ca="1">MAX(_xlfn._xlws.FILTER(CG37:CM37,CG37:CM37&lt;BG37))</f>
        <v>6.1166666666666671</v>
      </c>
      <c r="CO37" s="2" cm="1">
        <f t="array" aca="1" ref="CO37" ca="1">MIN(_xlfn._xlws.FILTER($CG37:$CM37,$CG37:$CM37&gt;BG37))</f>
        <v>7.2633333333333345</v>
      </c>
      <c r="CP37" s="19">
        <f t="shared" ca="1" si="65"/>
        <v>0.18746594005449602</v>
      </c>
      <c r="CQ37" s="23">
        <f t="shared" ca="1" si="66"/>
        <v>-9.3732970027248008E-2</v>
      </c>
      <c r="CR37" s="23">
        <f t="shared" ca="1" si="67"/>
        <v>-6.2488646684832005E-2</v>
      </c>
      <c r="CS37" s="23">
        <f t="shared" ca="1" si="68"/>
        <v>-3.7493188010899202E-2</v>
      </c>
      <c r="CT37" s="23">
        <f t="shared" ca="1" si="69"/>
        <v>-2.0829548894944001E-2</v>
      </c>
      <c r="CU37" s="23">
        <f t="shared" ca="1" si="70"/>
        <v>-1.1027408238499766E-2</v>
      </c>
      <c r="CV37" s="23">
        <f t="shared" ca="1" si="71"/>
        <v>-5.6807860622574554E-3</v>
      </c>
      <c r="CW37" s="23">
        <f t="shared" ca="1" si="72"/>
        <v>-2.8840913854537849E-3</v>
      </c>
      <c r="CX37" s="24">
        <f t="shared" ca="1" si="73"/>
        <v>2.8840913854537849E-3</v>
      </c>
      <c r="CY37" s="24">
        <f t="shared" ca="1" si="74"/>
        <v>5.6807860622574554E-3</v>
      </c>
      <c r="CZ37" s="24">
        <f t="shared" ca="1" si="75"/>
        <v>1.1027408238499766E-2</v>
      </c>
      <c r="DA37" s="24">
        <f t="shared" ca="1" si="76"/>
        <v>2.0829548894944001E-2</v>
      </c>
      <c r="DB37" s="24">
        <f t="shared" ca="1" si="77"/>
        <v>3.7493188010899202E-2</v>
      </c>
      <c r="DC37" s="24">
        <f t="shared" ca="1" si="78"/>
        <v>6.2488646684832005E-2</v>
      </c>
      <c r="DD37" s="24">
        <f t="shared" ca="1" si="79"/>
        <v>9.3732970027248008E-2</v>
      </c>
      <c r="DF37" s="19" cm="1">
        <f t="array" aca="1" ref="DF37" ca="1">MAX(_xlfn._xlws.FILTER(CQ37:DD37,CQ37:DD37&lt;BJ37))</f>
        <v>2.0829548894944001E-2</v>
      </c>
      <c r="DG37" s="19" cm="1">
        <f t="array" aca="1" ref="DG37" ca="1">MIN(_xlfn._xlws.FILTER(CQ37:DD37,CQ37:DD37&gt;BJ37))</f>
        <v>3.7493188010899202E-2</v>
      </c>
      <c r="DH37" s="2" cm="1">
        <f t="array" aca="1" ref="DH37" ca="1">_FV(EE37,"Fechamento anterior",TRUE)</f>
        <v>7</v>
      </c>
      <c r="DI37" s="36">
        <f t="shared" ca="1" si="22"/>
        <v>0.37886731727575096</v>
      </c>
      <c r="DJ37" s="18">
        <f t="shared" ca="1" si="80"/>
        <v>7.1458068422646077</v>
      </c>
      <c r="DK37" s="18">
        <f t="shared" ca="1" si="81"/>
        <v>7.2624523160762946</v>
      </c>
      <c r="DL37" s="9"/>
      <c r="DM37" s="9"/>
      <c r="DN37" s="9"/>
      <c r="DO37" s="9"/>
      <c r="DP37" s="79">
        <v>1.9208403676608532E-2</v>
      </c>
      <c r="DQ37" s="79">
        <v>8.7575259989053078E-3</v>
      </c>
      <c r="DR37" s="79">
        <v>5.5401202571013861E-3</v>
      </c>
      <c r="DS37" s="79">
        <f t="shared" ca="1" si="25"/>
        <v>1.6663639115955201E-2</v>
      </c>
      <c r="DT37" s="47"/>
      <c r="DU37" s="43">
        <f t="shared" si="26"/>
        <v>0.22927876046420009</v>
      </c>
      <c r="DV37" s="83">
        <f t="shared" ca="1" si="27"/>
        <v>1.0061</v>
      </c>
      <c r="DW37" s="83">
        <f t="shared" ca="1" si="28"/>
        <v>-2.1343000000000001</v>
      </c>
      <c r="DX37" s="83">
        <f t="shared" ca="1" si="29"/>
        <v>3.1404000000000001</v>
      </c>
      <c r="DY37" s="67"/>
      <c r="DZ37" s="67"/>
      <c r="EA37" s="85"/>
      <c r="EB37" s="44">
        <v>190600</v>
      </c>
      <c r="EC37" s="44" cm="1">
        <f t="array" aca="1" ref="EC37" ca="1">_FV(EE37,"Volume")</f>
        <v>398800</v>
      </c>
      <c r="EE37" s="2" t="e" vm="37">
        <v>#VALUE!</v>
      </c>
      <c r="EG37" s="10" cm="1">
        <f t="array" aca="1" ref="EG37" ca="1">_FV(EE37,"Ações em circulação",TRUE)</f>
        <v>1511206000</v>
      </c>
      <c r="EH37" s="21">
        <f>VLOOKUP(BH37,Fundamentus!A:U,5,FALSE)</f>
        <v>1.456</v>
      </c>
      <c r="EI37" s="2">
        <f t="shared" ca="1" si="30"/>
        <v>7462617541.2087917</v>
      </c>
      <c r="EJ37" s="20">
        <v>2369870965.7843404</v>
      </c>
      <c r="EK37" s="20">
        <f t="shared" ca="1" si="31"/>
        <v>2546991366.8145604</v>
      </c>
      <c r="EM37" s="40" t="str">
        <f>IF(VLOOKUP(BH37,Fundamentus!A:U,3,FALSE)&lt;15,"Bom",IF(VLOOKUP(BH37,Fundamentus!A:U,3,FALSE)&gt;15,"Ruim","n/a"))</f>
        <v>Bom</v>
      </c>
      <c r="EN37" s="36" t="str">
        <f>IF(VLOOKUP(BH37,Fundamentus!A:U,4,FALSE)&lt;1,"Baixo",IF(VLOOKUP(BH37,Fundamentus!A:U,4,FALSE)&lt;1.5,"Moderado",IF(VLOOKUP(BH37,Fundamentus!A:U,4,FALSE)&gt;1.5,"Alto","n/a")))</f>
        <v>Baixo</v>
      </c>
      <c r="EO37" s="20" t="str">
        <f>IF(VLOOKUP(BH37,Fundamentus!A:U,8,FALSE)&lt;0,"Risco elevado",IF(VLOOKUP(BH37,Fundamentus!A:U,8,FALSE)&lt;1,"Saudável",IF(VLOOKUP(BH37,Fundamentus!A:U,8,FALSE)&lt;3,"Estável",IF(VLOOKUP(BH37,Fundamentus!A:U,8,FALSE)&gt;3,"Alerta","n/a"))))</f>
        <v>Alerta</v>
      </c>
      <c r="EP37" s="36" t="str">
        <f t="shared" si="32"/>
        <v>Bom</v>
      </c>
      <c r="EQ37" s="20" t="str">
        <f>IF(VLOOKUP(BH37,Fundamentus!A:U,12,FALSE)&lt;2,"Subvalorizada",IF(VLOOKUP(BH37,Fundamentus!A:U,12,FALSE)&lt;6,"Muita barata",IF(VLOOKUP(BH37,Fundamentus!A:U,12,FALSE)&lt;6,"Barata",IF(VLOOKUP(BH37,Fundamentus!A:U,12,FALSE)&lt;8,"Atrativa",IF(VLOOKUP(BH37,Fundamentus!A:U,12,FALSE)&gt;8,"Supervalorizada","n/a")))))</f>
        <v>Atrativa</v>
      </c>
      <c r="ES37" s="20" t="str">
        <f>IF(VLOOKUP(BH37,Fundamentus!A:U,17,FALSE)&lt;0.1,"Fraco retorno",IF(VLOOKUP(BH37,Fundamentus!A:U,17,FALSE)&gt;0.1,"Bom retorno","n/a"))</f>
        <v>Bom retorno</v>
      </c>
      <c r="ET37" s="20" t="str">
        <f>IF(VLOOKUP(BH37,Fundamentus!A:U,16,FALSE)&lt;0.1,"Ineficiente",IF(VLOOKUP(BH37,Fundamentus!A:U,16,FALSE)&gt;0.1,"Eficiente","n/a"))</f>
        <v>Ineficiente</v>
      </c>
      <c r="EU37" s="41" t="str">
        <f>IF(VLOOKUP(BH37,Fundamentus!A:U,16,FALSE)&lt;0.1,"Oper. Ineficiente",IF(VLOOKUP(BH37,Fundamentus!A:U,16,FALSE)&gt;0.1,"Oper.Eficiente","n/a"))</f>
        <v>Oper. Ineficiente</v>
      </c>
      <c r="EV37" s="42">
        <f>VLOOKUP(BH37,Fundamentus!A:U,14,FALSE)</f>
        <v>0.34129999999999999</v>
      </c>
      <c r="EW37" s="20" t="str">
        <f>IF(VLOOKUP(BH37,Fundamentus!A:U,21,FALSE)&lt;0,"Negativo",IF(VLOOKUP(BH37,Fundamentus!A:U,21,FALSE)&lt;0.05,"Fraco",IF(VLOOKUP(BH37,Fundamentus!A:U,21,FALSE)&lt;0.1,"Bom",IF(VLOOKUP(BH37,Fundamentus!A:U,21,FALSE)&gt;0.1,"Muito bom","n/a"))))</f>
        <v>Bom</v>
      </c>
      <c r="EY37" s="37" t="str">
        <f>IF(VLOOKUP(BH37,Fundamentus!A:U,15,FALSE)&gt;1,"Bom",IF(VLOOKUP(BH37,Fundamentus!A:U,15,FALSE)&lt;1,"Ruim","n/a"))</f>
        <v>Bom</v>
      </c>
      <c r="EZ37" s="20" t="str">
        <f>IF(VLOOKUP(BH37,Fundamentus!A:U,20,FALSE)&lt;0.5,"Baixa",IF(VLOOKUP(BH37,Fundamentus!A:U,20,FALSE)&lt;1,"Moderada",IF(VLOOKUP(BH37,Fundamentus!A:U,20,FALSE)&lt;2,"Alerta",IF(VLOOKUP(BH37,Fundamentus!A:U,20,FALSE)&gt;2,"Alta","n/a"))))</f>
        <v>Moderada</v>
      </c>
    </row>
    <row r="38" spans="1:156" s="2" customFormat="1" ht="11.25" hidden="1" x14ac:dyDescent="0.2">
      <c r="A38" s="4">
        <v>22.69</v>
      </c>
      <c r="B38" s="4">
        <v>22.15</v>
      </c>
      <c r="C38" s="4">
        <v>22.05</v>
      </c>
      <c r="D38" s="4">
        <v>22.1</v>
      </c>
      <c r="E38" s="4">
        <v>21.57</v>
      </c>
      <c r="F38" s="4">
        <v>21.04</v>
      </c>
      <c r="G38" s="4">
        <v>20.96</v>
      </c>
      <c r="H38" s="4">
        <v>20.93</v>
      </c>
      <c r="I38" s="4">
        <v>22.17</v>
      </c>
      <c r="J38" s="4">
        <v>22.48</v>
      </c>
      <c r="K38" s="4">
        <v>23.2</v>
      </c>
      <c r="L38" s="4">
        <v>22.59</v>
      </c>
      <c r="M38" s="4">
        <v>22.36</v>
      </c>
      <c r="N38" s="4">
        <v>22.75</v>
      </c>
      <c r="O38" s="4">
        <v>23.13</v>
      </c>
      <c r="P38" s="4">
        <v>22.7</v>
      </c>
      <c r="Q38" s="4">
        <v>23.55</v>
      </c>
      <c r="R38" s="4">
        <v>23.25</v>
      </c>
      <c r="S38" s="4">
        <v>23.01</v>
      </c>
      <c r="T38" s="4">
        <v>23.5</v>
      </c>
      <c r="U38" s="4">
        <v>22.65</v>
      </c>
      <c r="V38" s="4">
        <v>21.84</v>
      </c>
      <c r="W38" s="4">
        <v>21.55</v>
      </c>
      <c r="X38" s="4">
        <v>21.22</v>
      </c>
      <c r="Y38" s="4">
        <v>21.25</v>
      </c>
      <c r="Z38" s="4">
        <v>21.35</v>
      </c>
      <c r="AA38" s="4">
        <v>20.67</v>
      </c>
      <c r="AB38" s="4">
        <v>20.57</v>
      </c>
      <c r="AC38" s="4">
        <v>20.72</v>
      </c>
      <c r="AD38" s="4">
        <v>20.89</v>
      </c>
      <c r="AE38" s="4">
        <v>20.23</v>
      </c>
      <c r="AF38" s="4">
        <v>19.989999999999998</v>
      </c>
      <c r="AG38" s="4">
        <v>20.7</v>
      </c>
      <c r="AH38" s="4">
        <v>20.25</v>
      </c>
      <c r="AI38" s="4">
        <v>20.75</v>
      </c>
      <c r="AJ38" s="4">
        <v>18.989999999999998</v>
      </c>
      <c r="AK38" s="4">
        <v>19.04</v>
      </c>
      <c r="AL38" s="4">
        <v>19.55</v>
      </c>
      <c r="AM38" s="4">
        <v>19.55</v>
      </c>
      <c r="AN38" s="4">
        <v>20.170000000000002</v>
      </c>
      <c r="AO38" s="4">
        <v>20.96</v>
      </c>
      <c r="AP38" s="4">
        <v>20.23</v>
      </c>
      <c r="AQ38" s="4">
        <v>20.13</v>
      </c>
      <c r="AR38" s="4">
        <v>19.72</v>
      </c>
      <c r="AS38" s="4">
        <v>20.010000000000002</v>
      </c>
      <c r="AT38" s="4">
        <v>20.94</v>
      </c>
      <c r="AU38" s="4">
        <v>20.350000000000001</v>
      </c>
      <c r="AV38" s="4">
        <v>20.77</v>
      </c>
      <c r="AW38" s="4">
        <v>19.97</v>
      </c>
      <c r="AX38" s="4">
        <v>19.28</v>
      </c>
      <c r="AY38" s="12">
        <v>19.79</v>
      </c>
      <c r="AZ38" s="12">
        <v>21.37</v>
      </c>
      <c r="BA38" s="12">
        <v>21.7</v>
      </c>
      <c r="BB38" s="18">
        <v>21.49</v>
      </c>
      <c r="BC38" s="63">
        <v>21.68</v>
      </c>
      <c r="BD38" s="63">
        <v>21.41</v>
      </c>
      <c r="BE38" s="63">
        <v>20.95</v>
      </c>
      <c r="BF38" s="63">
        <v>21.44</v>
      </c>
      <c r="BG38" s="91" cm="1">
        <f t="array" aca="1" ref="BG38" ca="1">_FV(EE38,"Preço")</f>
        <v>21.06</v>
      </c>
      <c r="BH38" s="93" t="s">
        <v>36</v>
      </c>
      <c r="BI38" s="32" cm="1">
        <f t="array" aca="1" ref="BI38" ca="1">_FV(EE38,"Beta")</f>
        <v>0.87939999999999996</v>
      </c>
      <c r="BJ38" s="96" cm="1">
        <f t="array" aca="1" ref="BJ38" ca="1">_FV(EE38,"Variação (%)",TRUE)</f>
        <v>-9.4070000000000004E-3</v>
      </c>
      <c r="BK38" s="49"/>
      <c r="BL38" s="49"/>
      <c r="BN38" s="32"/>
      <c r="BO38" s="20" cm="1">
        <f t="array" aca="1" ref="BO38" ca="1">_FV(EE38,"Baixo")</f>
        <v>20.93</v>
      </c>
      <c r="BP38" s="20" cm="1">
        <f t="array" aca="1" ref="BP38" ca="1">_FV(EE38,"Alto")</f>
        <v>21.26</v>
      </c>
      <c r="BQ38" s="32"/>
      <c r="BR38" s="74">
        <f ca="1">SQRT(22.5*(BG38/VLOOKUP(BH38,Fundamentus!A:U,3,FALSE))*(BG38/VLOOKUP(BH38,Fundamentus!A:U,4,FALSE)))</f>
        <v>47.898286086830559</v>
      </c>
      <c r="BT38" s="73">
        <f t="shared" ca="1" si="0"/>
        <v>-1.7723880597015042E-2</v>
      </c>
      <c r="BU38" s="36">
        <f t="shared" si="1"/>
        <v>-7.6685764654032693E-2</v>
      </c>
      <c r="BV38" s="8"/>
      <c r="BW38" s="72">
        <f t="shared" si="2"/>
        <v>18.989999999999998</v>
      </c>
      <c r="BX38" s="72">
        <f t="shared" si="3"/>
        <v>21.246551724137934</v>
      </c>
      <c r="BY38" s="72">
        <f t="shared" si="4"/>
        <v>23.55</v>
      </c>
      <c r="BZ38" s="17"/>
      <c r="CA38" s="17"/>
      <c r="CB38" s="43">
        <f t="shared" si="5"/>
        <v>20.546350320766919</v>
      </c>
      <c r="CC38" s="18">
        <f t="shared" si="6"/>
        <v>21.074554826616691</v>
      </c>
      <c r="CD38" s="43">
        <f t="shared" si="7"/>
        <v>21.602759332466462</v>
      </c>
      <c r="CE38" s="98">
        <f t="shared" ca="1" si="8"/>
        <v>-2.7555286741214453E-2</v>
      </c>
      <c r="CF38" s="17"/>
      <c r="CG38" s="20">
        <f t="shared" si="9"/>
        <v>14.543333333333333</v>
      </c>
      <c r="CH38" s="20">
        <f t="shared" si="10"/>
        <v>16.766666666666666</v>
      </c>
      <c r="CI38" s="20">
        <f t="shared" si="11"/>
        <v>19.103333333333335</v>
      </c>
      <c r="CJ38" s="49">
        <f t="shared" si="12"/>
        <v>21.326666666666668</v>
      </c>
      <c r="CK38" s="20">
        <f t="shared" si="13"/>
        <v>23.663333333333338</v>
      </c>
      <c r="CL38" s="20">
        <f t="shared" si="14"/>
        <v>25.88666666666667</v>
      </c>
      <c r="CM38" s="20">
        <f t="shared" si="15"/>
        <v>28.22333333333334</v>
      </c>
      <c r="CN38" s="2" cm="1">
        <f t="array" aca="1" ref="CN38" ca="1">MAX(_xlfn._xlws.FILTER(CG38:CM38,CG38:CM38&lt;BG38))</f>
        <v>19.103333333333335</v>
      </c>
      <c r="CO38" s="2" cm="1">
        <f t="array" aca="1" ref="CO38" ca="1">MIN(_xlfn._xlws.FILTER($CG38:$CM38,$CG38:$CM38&gt;BG38))</f>
        <v>21.326666666666668</v>
      </c>
      <c r="CP38" s="19">
        <f t="shared" ca="1" si="65"/>
        <v>0.11638457511778055</v>
      </c>
      <c r="CQ38" s="23">
        <f t="shared" ca="1" si="66"/>
        <v>-5.8192287558890277E-2</v>
      </c>
      <c r="CR38" s="23">
        <f t="shared" ca="1" si="67"/>
        <v>-3.879485837259352E-2</v>
      </c>
      <c r="CS38" s="23">
        <f t="shared" ca="1" si="68"/>
        <v>-2.3276915023556111E-2</v>
      </c>
      <c r="CT38" s="23">
        <f t="shared" ca="1" si="69"/>
        <v>-1.2931619457531173E-2</v>
      </c>
      <c r="CU38" s="23">
        <f t="shared" ca="1" si="70"/>
        <v>-6.8461514775165029E-3</v>
      </c>
      <c r="CV38" s="23">
        <f t="shared" ca="1" si="71"/>
        <v>-3.5268053065994108E-3</v>
      </c>
      <c r="CW38" s="23">
        <f t="shared" ca="1" si="72"/>
        <v>-1.7905319248889317E-3</v>
      </c>
      <c r="CX38" s="24">
        <f t="shared" ca="1" si="73"/>
        <v>1.7905319248889317E-3</v>
      </c>
      <c r="CY38" s="24">
        <f t="shared" ca="1" si="74"/>
        <v>3.5268053065994108E-3</v>
      </c>
      <c r="CZ38" s="24">
        <f t="shared" ca="1" si="75"/>
        <v>6.8461514775165029E-3</v>
      </c>
      <c r="DA38" s="24">
        <f t="shared" ca="1" si="76"/>
        <v>1.2931619457531173E-2</v>
      </c>
      <c r="DB38" s="24">
        <f t="shared" ca="1" si="77"/>
        <v>2.3276915023556111E-2</v>
      </c>
      <c r="DC38" s="24">
        <f t="shared" ca="1" si="78"/>
        <v>3.879485837259352E-2</v>
      </c>
      <c r="DD38" s="24">
        <f t="shared" ca="1" si="79"/>
        <v>5.8192287558890277E-2</v>
      </c>
      <c r="DF38" s="19" cm="1">
        <f t="array" aca="1" ref="DF38" ca="1">MAX(_xlfn._xlws.FILTER(CQ38:DD38,CQ38:DD38&lt;BJ38))</f>
        <v>-1.2931619457531173E-2</v>
      </c>
      <c r="DG38" s="19" cm="1">
        <f t="array" aca="1" ref="DG38" ca="1">MIN(_xlfn._xlws.FILTER(CQ38:DD38,CQ38:DD38&gt;BJ38))</f>
        <v>-6.8461514775165029E-3</v>
      </c>
      <c r="DH38" s="2" cm="1">
        <f t="array" aca="1" ref="DH38" ca="1">_FV(EE38,"Fechamento anterior",TRUE)</f>
        <v>21.26</v>
      </c>
      <c r="DI38" s="36">
        <f t="shared" ca="1" si="22"/>
        <v>0.57913076622552051</v>
      </c>
      <c r="DJ38" s="18">
        <f t="shared" ca="1" si="80"/>
        <v>20.985073770332889</v>
      </c>
      <c r="DK38" s="18">
        <f t="shared" ca="1" si="81"/>
        <v>21.114450819588001</v>
      </c>
      <c r="DL38" s="9"/>
      <c r="DM38" s="9"/>
      <c r="DN38" s="9"/>
      <c r="DO38" s="9"/>
      <c r="DP38" s="79">
        <v>4.738316214854656E-3</v>
      </c>
      <c r="DQ38" s="79">
        <v>1.2082706347879373E-2</v>
      </c>
      <c r="DR38" s="79">
        <v>2.5845361171934486E-3</v>
      </c>
      <c r="DS38" s="79">
        <f t="shared" ca="1" si="25"/>
        <v>6.0854679800146699E-3</v>
      </c>
      <c r="DT38" s="47"/>
      <c r="DU38" s="43">
        <f t="shared" si="26"/>
        <v>0.26410225292488543</v>
      </c>
      <c r="DV38" s="83">
        <f t="shared" ca="1" si="27"/>
        <v>1.3054999999999999</v>
      </c>
      <c r="DW38" s="83">
        <f t="shared" ca="1" si="28"/>
        <v>1.8201000000000001</v>
      </c>
      <c r="DX38" s="83">
        <f t="shared" ca="1" si="29"/>
        <v>-0.51460000000000017</v>
      </c>
      <c r="DY38" s="67"/>
      <c r="DZ38" s="67"/>
      <c r="EA38" s="85"/>
      <c r="EB38" s="44">
        <v>506800</v>
      </c>
      <c r="EC38" s="44" cm="1">
        <f t="array" aca="1" ref="EC38" ca="1">_FV(EE38,"Volume")</f>
        <v>248500</v>
      </c>
      <c r="EE38" s="2" t="e" vm="38">
        <v>#VALUE!</v>
      </c>
      <c r="EG38" s="10" cm="1">
        <f t="array" aca="1" ref="EG38" ca="1">_FV(EE38,"Ações em circulação",TRUE)</f>
        <v>121695200</v>
      </c>
      <c r="EH38" s="21">
        <f>VLOOKUP(BH38,Fundamentus!A:U,5,FALSE)</f>
        <v>0</v>
      </c>
      <c r="EI38" s="2" t="e">
        <f t="shared" ca="1" si="30"/>
        <v>#DIV/0!</v>
      </c>
      <c r="EJ38" s="20" t="e">
        <v>#DIV/0!</v>
      </c>
      <c r="EK38" s="20" t="e">
        <f t="shared" ca="1" si="31"/>
        <v>#DIV/0!</v>
      </c>
      <c r="EM38" s="40" t="str">
        <f>IF(VLOOKUP(BH38,Fundamentus!A:U,3,FALSE)&lt;15,"Bom",IF(VLOOKUP(BH38,Fundamentus!A:U,3,FALSE)&gt;15,"Ruim","n/a"))</f>
        <v>Bom</v>
      </c>
      <c r="EN38" s="36" t="str">
        <f>IF(VLOOKUP(BH38,Fundamentus!A:U,4,FALSE)&lt;1,"Baixo",IF(VLOOKUP(BH38,Fundamentus!A:U,4,FALSE)&lt;1.5,"Moderado",IF(VLOOKUP(BH38,Fundamentus!A:U,4,FALSE)&gt;1.5,"Alto","n/a")))</f>
        <v>Baixo</v>
      </c>
      <c r="EO38" s="20" t="str">
        <f>IF(VLOOKUP(BH38,Fundamentus!A:U,8,FALSE)&lt;0,"Risco elevado",IF(VLOOKUP(BH38,Fundamentus!A:U,8,FALSE)&lt;1,"Saudável",IF(VLOOKUP(BH38,Fundamentus!A:U,8,FALSE)&lt;3,"Estável",IF(VLOOKUP(BH38,Fundamentus!A:U,8,FALSE)&gt;3,"Alerta","n/a"))))</f>
        <v>Saudável</v>
      </c>
      <c r="EP38" s="36" t="str">
        <f t="shared" si="32"/>
        <v>Ruim</v>
      </c>
      <c r="EQ38" s="20" t="str">
        <f>IF(VLOOKUP(BH38,Fundamentus!A:U,12,FALSE)&lt;2,"Subvalorizada",IF(VLOOKUP(BH38,Fundamentus!A:U,12,FALSE)&lt;6,"Muita barata",IF(VLOOKUP(BH38,Fundamentus!A:U,12,FALSE)&lt;6,"Barata",IF(VLOOKUP(BH38,Fundamentus!A:U,12,FALSE)&lt;8,"Atrativa",IF(VLOOKUP(BH38,Fundamentus!A:U,12,FALSE)&gt;8,"Supervalorizada","n/a")))))</f>
        <v>Subvalorizada</v>
      </c>
      <c r="ES38" s="20" t="str">
        <f>IF(VLOOKUP(BH38,Fundamentus!A:U,17,FALSE)&lt;0.1,"Fraco retorno",IF(VLOOKUP(BH38,Fundamentus!A:U,17,FALSE)&gt;0.1,"Bom retorno","n/a"))</f>
        <v>Bom retorno</v>
      </c>
      <c r="ET38" s="20" t="str">
        <f>IF(VLOOKUP(BH38,Fundamentus!A:U,16,FALSE)&lt;0.1,"Ineficiente",IF(VLOOKUP(BH38,Fundamentus!A:U,16,FALSE)&gt;0.1,"Eficiente","n/a"))</f>
        <v>Ineficiente</v>
      </c>
      <c r="EU38" s="41" t="str">
        <f>IF(VLOOKUP(BH38,Fundamentus!A:U,16,FALSE)&lt;0.1,"Oper. Ineficiente",IF(VLOOKUP(BH38,Fundamentus!A:U,16,FALSE)&gt;0.1,"Oper.Eficiente","n/a"))</f>
        <v>Oper. Ineficiente</v>
      </c>
      <c r="EV38" s="42">
        <f>VLOOKUP(BH38,Fundamentus!A:U,14,FALSE)</f>
        <v>0</v>
      </c>
      <c r="EW38" s="20" t="str">
        <f>IF(VLOOKUP(BH38,Fundamentus!A:U,21,FALSE)&lt;0,"Negativo",IF(VLOOKUP(BH38,Fundamentus!A:U,21,FALSE)&lt;0.05,"Fraco",IF(VLOOKUP(BH38,Fundamentus!A:U,21,FALSE)&lt;0.1,"Bom",IF(VLOOKUP(BH38,Fundamentus!A:U,21,FALSE)&gt;0.1,"Muito bom","n/a"))))</f>
        <v>Muito bom</v>
      </c>
      <c r="EY38" s="37" t="str">
        <f>IF(VLOOKUP(BH38,Fundamentus!A:U,15,FALSE)&gt;1,"Bom",IF(VLOOKUP(BH38,Fundamentus!A:U,15,FALSE)&lt;1,"Ruim","n/a"))</f>
        <v>Ruim</v>
      </c>
      <c r="EZ38" s="20" t="str">
        <f>IF(VLOOKUP(BH38,Fundamentus!A:U,20,FALSE)&lt;0.5,"Baixa",IF(VLOOKUP(BH38,Fundamentus!A:U,20,FALSE)&lt;1,"Moderada",IF(VLOOKUP(BH38,Fundamentus!A:U,20,FALSE)&lt;2,"Alerta",IF(VLOOKUP(BH38,Fundamentus!A:U,20,FALSE)&gt;2,"Alta","n/a"))))</f>
        <v>Baixa</v>
      </c>
    </row>
    <row r="39" spans="1:156" s="2" customFormat="1" ht="11.25" hidden="1" x14ac:dyDescent="0.2">
      <c r="A39" s="4">
        <v>12.57</v>
      </c>
      <c r="B39" s="4">
        <v>11.19</v>
      </c>
      <c r="C39" s="4">
        <v>11.57</v>
      </c>
      <c r="D39" s="4">
        <v>11.17</v>
      </c>
      <c r="E39" s="4">
        <v>10.89</v>
      </c>
      <c r="F39" s="4">
        <v>10.98</v>
      </c>
      <c r="G39" s="4">
        <v>11</v>
      </c>
      <c r="H39" s="4">
        <v>10.99</v>
      </c>
      <c r="I39" s="4">
        <v>11.35</v>
      </c>
      <c r="J39" s="4">
        <v>11.53</v>
      </c>
      <c r="K39" s="4">
        <v>11.8</v>
      </c>
      <c r="L39" s="4">
        <v>11.7</v>
      </c>
      <c r="M39" s="4">
        <v>11.46</v>
      </c>
      <c r="N39" s="4">
        <v>11.2</v>
      </c>
      <c r="O39" s="4">
        <v>11.54</v>
      </c>
      <c r="P39" s="4">
        <v>12.22</v>
      </c>
      <c r="Q39" s="4">
        <v>12.59</v>
      </c>
      <c r="R39" s="4">
        <v>12.56</v>
      </c>
      <c r="S39" s="4">
        <v>12.67</v>
      </c>
      <c r="T39" s="4">
        <v>12.33</v>
      </c>
      <c r="U39" s="4">
        <v>11.73</v>
      </c>
      <c r="V39" s="4">
        <v>11.5</v>
      </c>
      <c r="W39" s="4">
        <v>11.31</v>
      </c>
      <c r="X39" s="4">
        <v>11.14</v>
      </c>
      <c r="Y39" s="4">
        <v>11.06</v>
      </c>
      <c r="Z39" s="4">
        <v>11.09</v>
      </c>
      <c r="AA39" s="4">
        <v>11.2</v>
      </c>
      <c r="AB39" s="4">
        <v>11.14</v>
      </c>
      <c r="AC39" s="4">
        <v>10.6</v>
      </c>
      <c r="AD39" s="4">
        <v>10.9</v>
      </c>
      <c r="AE39" s="4">
        <v>10.88</v>
      </c>
      <c r="AF39" s="4">
        <v>10.199999999999999</v>
      </c>
      <c r="AG39" s="4">
        <v>10.17</v>
      </c>
      <c r="AH39" s="4">
        <v>9.7100000000000009</v>
      </c>
      <c r="AI39" s="4">
        <v>9.99</v>
      </c>
      <c r="AJ39" s="4">
        <v>9.57</v>
      </c>
      <c r="AK39" s="4">
        <v>9.65</v>
      </c>
      <c r="AL39" s="4">
        <v>9.75</v>
      </c>
      <c r="AM39" s="4">
        <v>9.92</v>
      </c>
      <c r="AN39" s="4">
        <v>10.36</v>
      </c>
      <c r="AO39" s="4">
        <v>10.42</v>
      </c>
      <c r="AP39" s="4">
        <v>10.3</v>
      </c>
      <c r="AQ39" s="4">
        <v>10.67</v>
      </c>
      <c r="AR39" s="4">
        <v>10.8</v>
      </c>
      <c r="AS39" s="4">
        <v>11.1</v>
      </c>
      <c r="AT39" s="4">
        <v>11.17</v>
      </c>
      <c r="AU39" s="4">
        <v>11.115</v>
      </c>
      <c r="AV39" s="4">
        <v>10.94</v>
      </c>
      <c r="AW39" s="4">
        <v>10.76</v>
      </c>
      <c r="AX39" s="4">
        <v>10.48</v>
      </c>
      <c r="AY39" s="12">
        <v>10.66</v>
      </c>
      <c r="AZ39" s="12">
        <v>11.25</v>
      </c>
      <c r="BA39" s="12">
        <v>11.5</v>
      </c>
      <c r="BB39" s="18">
        <v>11.76</v>
      </c>
      <c r="BC39" s="63">
        <v>13</v>
      </c>
      <c r="BD39" s="63">
        <v>12.22</v>
      </c>
      <c r="BE39" s="63">
        <v>12.01</v>
      </c>
      <c r="BF39" s="63">
        <v>11.76</v>
      </c>
      <c r="BG39" s="91" cm="1">
        <f t="array" aca="1" ref="BG39" ca="1">_FV(EE39,"Preço")</f>
        <v>11.44</v>
      </c>
      <c r="BH39" s="93" t="s">
        <v>37</v>
      </c>
      <c r="BI39" s="32" cm="1">
        <f t="array" aca="1" ref="BI39" ca="1">_FV(EE39,"Beta")</f>
        <v>1.0726</v>
      </c>
      <c r="BJ39" s="96" cm="1">
        <f t="array" aca="1" ref="BJ39" ca="1">_FV(EE39,"Variação (%)",TRUE)</f>
        <v>-2.4723000000000002E-2</v>
      </c>
      <c r="BK39" s="49"/>
      <c r="BL39" s="49"/>
      <c r="BN39" s="32"/>
      <c r="BO39" s="20" cm="1">
        <f t="array" aca="1" ref="BO39" ca="1">_FV(EE39,"Baixo")</f>
        <v>11.41</v>
      </c>
      <c r="BP39" s="20" cm="1">
        <f t="array" aca="1" ref="BP39" ca="1">_FV(EE39,"Alto")</f>
        <v>11.64</v>
      </c>
      <c r="BQ39" s="32"/>
      <c r="BR39" s="74">
        <f ca="1">SQRT(22.5*(BG39/VLOOKUP(BH39,Fundamentus!A:U,3,FALSE))*(BG39/VLOOKUP(BH39,Fundamentus!A:U,4,FALSE)))</f>
        <v>35.888902145013439</v>
      </c>
      <c r="BT39" s="73">
        <f t="shared" ca="1" si="0"/>
        <v>-2.721088435374152E-2</v>
      </c>
      <c r="BU39" s="36">
        <f t="shared" si="1"/>
        <v>-4.4550517104216425E-2</v>
      </c>
      <c r="BV39" s="8"/>
      <c r="BW39" s="72">
        <f t="shared" si="2"/>
        <v>9.57</v>
      </c>
      <c r="BX39" s="72">
        <f t="shared" si="3"/>
        <v>11.156810344827587</v>
      </c>
      <c r="BY39" s="72">
        <f t="shared" si="4"/>
        <v>13</v>
      </c>
      <c r="BZ39" s="17"/>
      <c r="CA39" s="17"/>
      <c r="CB39" s="43">
        <f t="shared" si="5"/>
        <v>10.354204934617883</v>
      </c>
      <c r="CC39" s="18">
        <f t="shared" si="6"/>
        <v>11.282146204311175</v>
      </c>
      <c r="CD39" s="43">
        <f t="shared" si="7"/>
        <v>12.210087474004467</v>
      </c>
      <c r="CE39" s="98">
        <f t="shared" ca="1" si="8"/>
        <v>0.17011183880311631</v>
      </c>
      <c r="CF39" s="17"/>
      <c r="CG39" s="20">
        <f t="shared" si="9"/>
        <v>6.456666666666667</v>
      </c>
      <c r="CH39" s="20">
        <f t="shared" si="10"/>
        <v>8.0133333333333336</v>
      </c>
      <c r="CI39" s="20">
        <f t="shared" si="11"/>
        <v>9.8866666666666667</v>
      </c>
      <c r="CJ39" s="49">
        <f t="shared" si="12"/>
        <v>11.443333333333333</v>
      </c>
      <c r="CK39" s="20">
        <f t="shared" si="13"/>
        <v>13.316666666666666</v>
      </c>
      <c r="CL39" s="20">
        <f t="shared" si="14"/>
        <v>14.873333333333333</v>
      </c>
      <c r="CM39" s="20">
        <f t="shared" si="15"/>
        <v>16.746666666666666</v>
      </c>
      <c r="CN39" s="2" cm="1">
        <f t="array" aca="1" ref="CN39" ca="1">MAX(_xlfn._xlws.FILTER(CG39:CM39,CG39:CM39&lt;BG39))</f>
        <v>9.8866666666666667</v>
      </c>
      <c r="CO39" s="2" cm="1">
        <f t="array" aca="1" ref="CO39" ca="1">MIN(_xlfn._xlws.FILTER($CG39:$CM39,$CG39:$CM39&gt;BG39))</f>
        <v>11.443333333333333</v>
      </c>
      <c r="CP39" s="19">
        <f t="shared" ca="1" si="65"/>
        <v>0.15745111260957523</v>
      </c>
      <c r="CQ39" s="23">
        <f t="shared" ca="1" si="66"/>
        <v>-7.8725556304787614E-2</v>
      </c>
      <c r="CR39" s="23">
        <f t="shared" ca="1" si="67"/>
        <v>-5.248370420319174E-2</v>
      </c>
      <c r="CS39" s="23">
        <f t="shared" ca="1" si="68"/>
        <v>-3.1490222521915044E-2</v>
      </c>
      <c r="CT39" s="23">
        <f t="shared" ca="1" si="69"/>
        <v>-1.749456806773058E-2</v>
      </c>
      <c r="CU39" s="23">
        <f t="shared" ca="1" si="70"/>
        <v>-9.2618301535044249E-3</v>
      </c>
      <c r="CV39" s="23">
        <f t="shared" ca="1" si="71"/>
        <v>-4.7712458366537952E-3</v>
      </c>
      <c r="CW39" s="23">
        <f t="shared" ca="1" si="72"/>
        <v>-2.4223248093780806E-3</v>
      </c>
      <c r="CX39" s="24">
        <f t="shared" ca="1" si="73"/>
        <v>2.4223248093780806E-3</v>
      </c>
      <c r="CY39" s="24">
        <f t="shared" ca="1" si="74"/>
        <v>4.7712458366537952E-3</v>
      </c>
      <c r="CZ39" s="24">
        <f t="shared" ca="1" si="75"/>
        <v>9.2618301535044249E-3</v>
      </c>
      <c r="DA39" s="24">
        <f t="shared" ca="1" si="76"/>
        <v>1.749456806773058E-2</v>
      </c>
      <c r="DB39" s="24">
        <f t="shared" ca="1" si="77"/>
        <v>3.1490222521915044E-2</v>
      </c>
      <c r="DC39" s="24">
        <f t="shared" ca="1" si="78"/>
        <v>5.248370420319174E-2</v>
      </c>
      <c r="DD39" s="24">
        <f t="shared" ca="1" si="79"/>
        <v>7.8725556304787614E-2</v>
      </c>
      <c r="DF39" s="19" cm="1">
        <f t="array" aca="1" ref="DF39" ca="1">MAX(_xlfn._xlws.FILTER(CQ39:DD39,CQ39:DD39&lt;BJ39))</f>
        <v>-3.1490222521915044E-2</v>
      </c>
      <c r="DG39" s="19" cm="1">
        <f t="array" aca="1" ref="DG39" ca="1">MIN(_xlfn._xlws.FILTER(CQ39:DD39,CQ39:DD39&gt;BJ39))</f>
        <v>-1.749456806773058E-2</v>
      </c>
      <c r="DH39" s="2" cm="1">
        <f t="array" aca="1" ref="DH39" ca="1">_FV(EE39,"Fechamento anterior",TRUE)</f>
        <v>11.73</v>
      </c>
      <c r="DI39" s="36">
        <f t="shared" ca="1" si="22"/>
        <v>0.48352793309856473</v>
      </c>
      <c r="DJ39" s="18">
        <f t="shared" ca="1" si="80"/>
        <v>11.360619689817938</v>
      </c>
      <c r="DK39" s="18">
        <f t="shared" ca="1" si="81"/>
        <v>11.524788716565521</v>
      </c>
      <c r="DL39" s="9"/>
      <c r="DM39" s="9"/>
      <c r="DN39" s="9"/>
      <c r="DO39" s="9"/>
      <c r="DP39" s="79">
        <v>3.0497059381521509E-2</v>
      </c>
      <c r="DQ39" s="79">
        <v>9.5677049040067495E-3</v>
      </c>
      <c r="DR39" s="79">
        <v>5.6302263473578173E-3</v>
      </c>
      <c r="DS39" s="79">
        <f t="shared" ca="1" si="25"/>
        <v>1.3995654454184464E-2</v>
      </c>
      <c r="DT39" s="47"/>
      <c r="DU39" s="43">
        <f t="shared" si="26"/>
        <v>0.46397063484664636</v>
      </c>
      <c r="DV39" s="83">
        <f t="shared" ca="1" si="27"/>
        <v>1.4986999999999999</v>
      </c>
      <c r="DW39" s="83">
        <f t="shared" ca="1" si="28"/>
        <v>3.5449000000000002</v>
      </c>
      <c r="DX39" s="83">
        <f t="shared" ca="1" si="29"/>
        <v>-2.0462000000000002</v>
      </c>
      <c r="DY39" s="67"/>
      <c r="DZ39" s="67"/>
      <c r="EA39" s="85"/>
      <c r="EB39" s="44">
        <v>889100</v>
      </c>
      <c r="EC39" s="44" cm="1">
        <f t="array" aca="1" ref="EC39" ca="1">_FV(EE39,"Volume")</f>
        <v>698600</v>
      </c>
      <c r="EE39" s="2" t="e" vm="39">
        <v>#VALUE!</v>
      </c>
      <c r="EG39" s="10" cm="1">
        <f t="array" aca="1" ref="EG39" ca="1">_FV(EE39,"Ações em circulação",TRUE)</f>
        <v>408974500</v>
      </c>
      <c r="EH39" s="21">
        <f>VLOOKUP(BH39,Fundamentus!A:U,5,FALSE)</f>
        <v>0</v>
      </c>
      <c r="EI39" s="2" t="e">
        <f t="shared" ca="1" si="30"/>
        <v>#DIV/0!</v>
      </c>
      <c r="EJ39" s="20" t="e">
        <v>#DIV/0!</v>
      </c>
      <c r="EK39" s="20" t="e">
        <f t="shared" ca="1" si="31"/>
        <v>#DIV/0!</v>
      </c>
      <c r="EM39" s="40" t="str">
        <f>IF(VLOOKUP(BH39,Fundamentus!A:U,3,FALSE)&lt;15,"Bom",IF(VLOOKUP(BH39,Fundamentus!A:U,3,FALSE)&gt;15,"Ruim","n/a"))</f>
        <v>Bom</v>
      </c>
      <c r="EN39" s="36" t="str">
        <f>IF(VLOOKUP(BH39,Fundamentus!A:U,4,FALSE)&lt;1,"Baixo",IF(VLOOKUP(BH39,Fundamentus!A:U,4,FALSE)&lt;1.5,"Moderado",IF(VLOOKUP(BH39,Fundamentus!A:U,4,FALSE)&gt;1.5,"Alto","n/a")))</f>
        <v>Baixo</v>
      </c>
      <c r="EO39" s="20" t="str">
        <f>IF(VLOOKUP(BH39,Fundamentus!A:U,8,FALSE)&lt;0,"Risco elevado",IF(VLOOKUP(BH39,Fundamentus!A:U,8,FALSE)&lt;1,"Saudável",IF(VLOOKUP(BH39,Fundamentus!A:U,8,FALSE)&lt;3,"Estável",IF(VLOOKUP(BH39,Fundamentus!A:U,8,FALSE)&gt;3,"Alerta","n/a"))))</f>
        <v>Saudável</v>
      </c>
      <c r="EP39" s="36" t="str">
        <f t="shared" si="32"/>
        <v>Ruim</v>
      </c>
      <c r="EQ39" s="20" t="str">
        <f>IF(VLOOKUP(BH39,Fundamentus!A:U,12,FALSE)&lt;2,"Subvalorizada",IF(VLOOKUP(BH39,Fundamentus!A:U,12,FALSE)&lt;6,"Muita barata",IF(VLOOKUP(BH39,Fundamentus!A:U,12,FALSE)&lt;6,"Barata",IF(VLOOKUP(BH39,Fundamentus!A:U,12,FALSE)&lt;8,"Atrativa",IF(VLOOKUP(BH39,Fundamentus!A:U,12,FALSE)&gt;8,"Supervalorizada","n/a")))))</f>
        <v>Subvalorizada</v>
      </c>
      <c r="ES39" s="20" t="str">
        <f>IF(VLOOKUP(BH39,Fundamentus!A:U,17,FALSE)&lt;0.1,"Fraco retorno",IF(VLOOKUP(BH39,Fundamentus!A:U,17,FALSE)&gt;0.1,"Bom retorno","n/a"))</f>
        <v>Fraco retorno</v>
      </c>
      <c r="ET39" s="20" t="str">
        <f>IF(VLOOKUP(BH39,Fundamentus!A:U,16,FALSE)&lt;0.1,"Ineficiente",IF(VLOOKUP(BH39,Fundamentus!A:U,16,FALSE)&gt;0.1,"Eficiente","n/a"))</f>
        <v>Ineficiente</v>
      </c>
      <c r="EU39" s="41" t="str">
        <f>IF(VLOOKUP(BH39,Fundamentus!A:U,16,FALSE)&lt;0.1,"Oper. Ineficiente",IF(VLOOKUP(BH39,Fundamentus!A:U,16,FALSE)&gt;0.1,"Oper.Eficiente","n/a"))</f>
        <v>Oper. Ineficiente</v>
      </c>
      <c r="EV39" s="42">
        <f>VLOOKUP(BH39,Fundamentus!A:U,14,FALSE)</f>
        <v>0</v>
      </c>
      <c r="EW39" s="20" t="str">
        <f>IF(VLOOKUP(BH39,Fundamentus!A:U,21,FALSE)&lt;0,"Negativo",IF(VLOOKUP(BH39,Fundamentus!A:U,21,FALSE)&lt;0.05,"Fraco",IF(VLOOKUP(BH39,Fundamentus!A:U,21,FALSE)&lt;0.1,"Bom",IF(VLOOKUP(BH39,Fundamentus!A:U,21,FALSE)&gt;0.1,"Muito bom","n/a"))))</f>
        <v>Fraco</v>
      </c>
      <c r="EY39" s="37" t="str">
        <f>IF(VLOOKUP(BH39,Fundamentus!A:U,15,FALSE)&gt;1,"Bom",IF(VLOOKUP(BH39,Fundamentus!A:U,15,FALSE)&lt;1,"Ruim","n/a"))</f>
        <v>Ruim</v>
      </c>
      <c r="EZ39" s="20" t="str">
        <f>IF(VLOOKUP(BH39,Fundamentus!A:U,20,FALSE)&lt;0.5,"Baixa",IF(VLOOKUP(BH39,Fundamentus!A:U,20,FALSE)&lt;1,"Moderada",IF(VLOOKUP(BH39,Fundamentus!A:U,20,FALSE)&lt;2,"Alerta",IF(VLOOKUP(BH39,Fundamentus!A:U,20,FALSE)&gt;2,"Alta","n/a"))))</f>
        <v>Baixa</v>
      </c>
    </row>
    <row r="40" spans="1:156" s="2" customFormat="1" ht="11.25" hidden="1" x14ac:dyDescent="0.2">
      <c r="A40" s="4">
        <v>16.75</v>
      </c>
      <c r="B40" s="4">
        <v>16.41</v>
      </c>
      <c r="C40" s="4">
        <v>16.09</v>
      </c>
      <c r="D40" s="4">
        <v>15.85</v>
      </c>
      <c r="E40" s="4">
        <v>15.4</v>
      </c>
      <c r="F40" s="4">
        <v>15.06</v>
      </c>
      <c r="G40" s="4">
        <v>14.55</v>
      </c>
      <c r="H40" s="4">
        <v>14.63</v>
      </c>
      <c r="I40" s="4">
        <v>15.2</v>
      </c>
      <c r="J40" s="4">
        <v>15.56</v>
      </c>
      <c r="K40" s="4">
        <v>16.14</v>
      </c>
      <c r="L40" s="4">
        <v>15.81</v>
      </c>
      <c r="M40" s="4">
        <v>16.18</v>
      </c>
      <c r="N40" s="4">
        <v>16.12</v>
      </c>
      <c r="O40" s="4">
        <v>16.329999999999998</v>
      </c>
      <c r="P40" s="4">
        <v>16.7</v>
      </c>
      <c r="Q40" s="4">
        <v>17.3</v>
      </c>
      <c r="R40" s="4">
        <v>17.2</v>
      </c>
      <c r="S40" s="4">
        <v>16.7</v>
      </c>
      <c r="T40" s="4">
        <v>17</v>
      </c>
      <c r="U40" s="4">
        <v>16.95</v>
      </c>
      <c r="V40" s="4">
        <v>17.239999999999998</v>
      </c>
      <c r="W40" s="4">
        <v>16.7</v>
      </c>
      <c r="X40" s="4">
        <v>16.25</v>
      </c>
      <c r="Y40" s="4">
        <v>16.05</v>
      </c>
      <c r="Z40" s="4">
        <v>15.94</v>
      </c>
      <c r="AA40" s="4">
        <v>15.8</v>
      </c>
      <c r="AB40" s="4">
        <v>15.8</v>
      </c>
      <c r="AC40" s="4">
        <v>15.8</v>
      </c>
      <c r="AD40" s="4">
        <v>15.75</v>
      </c>
      <c r="AE40" s="4">
        <v>15.77</v>
      </c>
      <c r="AF40" s="4">
        <v>16.46</v>
      </c>
      <c r="AG40" s="4">
        <v>16.38</v>
      </c>
      <c r="AH40" s="4">
        <v>16.16</v>
      </c>
      <c r="AI40" s="4">
        <v>16.329999999999998</v>
      </c>
      <c r="AJ40" s="4">
        <v>16.48</v>
      </c>
      <c r="AK40" s="4">
        <v>16.32</v>
      </c>
      <c r="AL40" s="4">
        <v>16.489999999999998</v>
      </c>
      <c r="AM40" s="4">
        <v>16.760000000000002</v>
      </c>
      <c r="AN40" s="4">
        <v>16.97</v>
      </c>
      <c r="AO40" s="4">
        <v>16.7</v>
      </c>
      <c r="AP40" s="4">
        <v>16.88</v>
      </c>
      <c r="AQ40" s="4">
        <v>16.8</v>
      </c>
      <c r="AR40" s="4">
        <v>16.559999999999999</v>
      </c>
      <c r="AS40" s="4">
        <v>16.96</v>
      </c>
      <c r="AT40" s="4">
        <v>17.350000000000001</v>
      </c>
      <c r="AU40" s="4">
        <v>17.399999999999999</v>
      </c>
      <c r="AV40" s="4">
        <v>17.100000000000001</v>
      </c>
      <c r="AW40" s="4">
        <v>17.03</v>
      </c>
      <c r="AX40" s="4">
        <v>17.12</v>
      </c>
      <c r="AY40" s="12">
        <v>17.100000000000001</v>
      </c>
      <c r="AZ40" s="12">
        <v>17.190000000000001</v>
      </c>
      <c r="BA40" s="12">
        <v>17.13</v>
      </c>
      <c r="BB40" s="18">
        <v>17.440000000000001</v>
      </c>
      <c r="BC40" s="63">
        <v>17.309999999999999</v>
      </c>
      <c r="BD40" s="63">
        <v>17.489999999999998</v>
      </c>
      <c r="BE40" s="63">
        <v>17.37</v>
      </c>
      <c r="BF40" s="63">
        <v>17.37</v>
      </c>
      <c r="BG40" s="91" cm="1">
        <f t="array" aca="1" ref="BG40" ca="1">_FV(EE40,"Preço")</f>
        <v>17.440000000000001</v>
      </c>
      <c r="BH40" s="93" t="s">
        <v>38</v>
      </c>
      <c r="BI40" s="32" cm="1">
        <f t="array" aca="1" ref="BI40" ca="1">_FV(EE40,"Beta")</f>
        <v>1.0815999999999999</v>
      </c>
      <c r="BJ40" s="96" cm="1">
        <f t="array" aca="1" ref="BJ40" ca="1">_FV(EE40,"Variação (%)",TRUE)</f>
        <v>0</v>
      </c>
      <c r="BK40" s="49"/>
      <c r="BL40" s="49"/>
      <c r="BN40" s="32"/>
      <c r="BO40" s="20" cm="1">
        <f t="array" aca="1" ref="BO40" ca="1">_FV(EE40,"Baixo")</f>
        <v>17.420000000000002</v>
      </c>
      <c r="BP40" s="20" cm="1">
        <f t="array" aca="1" ref="BP40" ca="1">_FV(EE40,"Alto")</f>
        <v>17.489999999999998</v>
      </c>
      <c r="BQ40" s="32"/>
      <c r="BR40" s="74">
        <f ca="1">SQRT(22.5*(BG40/VLOOKUP(BH40,Fundamentus!A:U,3,FALSE))*(BG40/VLOOKUP(BH40,Fundamentus!A:U,4,FALSE)))</f>
        <v>13.524500960917239</v>
      </c>
      <c r="BT40" s="73">
        <f t="shared" ca="1" si="0"/>
        <v>4.0299366724237352E-3</v>
      </c>
      <c r="BU40" s="36">
        <f t="shared" si="1"/>
        <v>3.7014925373134389E-2</v>
      </c>
      <c r="BV40" s="8"/>
      <c r="BW40" s="72">
        <f t="shared" si="2"/>
        <v>14.55</v>
      </c>
      <c r="BX40" s="72">
        <f t="shared" si="3"/>
        <v>16.47724137931035</v>
      </c>
      <c r="BY40" s="72">
        <f t="shared" si="4"/>
        <v>17.489999999999998</v>
      </c>
      <c r="BZ40" s="17"/>
      <c r="CA40" s="17"/>
      <c r="CB40" s="43">
        <f t="shared" si="5"/>
        <v>17.273197417823123</v>
      </c>
      <c r="CC40" s="18">
        <f t="shared" si="6"/>
        <v>17.403964386129342</v>
      </c>
      <c r="CD40" s="43">
        <f t="shared" si="7"/>
        <v>17.534731354435561</v>
      </c>
      <c r="CE40" s="98">
        <f t="shared" ca="1" si="8"/>
        <v>0.27557122672045259</v>
      </c>
      <c r="CF40" s="17"/>
      <c r="CG40" s="20">
        <f t="shared" si="9"/>
        <v>12.510000000000002</v>
      </c>
      <c r="CH40" s="20">
        <f t="shared" si="10"/>
        <v>13.530000000000001</v>
      </c>
      <c r="CI40" s="20">
        <f t="shared" si="11"/>
        <v>15.45</v>
      </c>
      <c r="CJ40" s="49">
        <f t="shared" si="12"/>
        <v>16.47</v>
      </c>
      <c r="CK40" s="20">
        <f t="shared" si="13"/>
        <v>18.389999999999997</v>
      </c>
      <c r="CL40" s="20">
        <f t="shared" si="14"/>
        <v>19.409999999999997</v>
      </c>
      <c r="CM40" s="20">
        <f t="shared" si="15"/>
        <v>21.329999999999995</v>
      </c>
      <c r="CN40" s="2" cm="1">
        <f t="array" aca="1" ref="CN40" ca="1">MAX(_xlfn._xlws.FILTER(CG40:CM40,CG40:CM40&lt;BG40))</f>
        <v>16.47</v>
      </c>
      <c r="CO40" s="2" cm="1">
        <f t="array" aca="1" ref="CO40" ca="1">MIN(_xlfn._xlws.FILTER($CG40:$CM40,$CG40:$CM40&gt;BG40))</f>
        <v>18.389999999999997</v>
      </c>
      <c r="CP40" s="19">
        <f t="shared" ca="1" si="65"/>
        <v>0.11657559198542788</v>
      </c>
      <c r="CQ40" s="23">
        <f t="shared" ca="1" si="66"/>
        <v>-5.8287795992713942E-2</v>
      </c>
      <c r="CR40" s="23">
        <f t="shared" ca="1" si="67"/>
        <v>-3.8858530661809297E-2</v>
      </c>
      <c r="CS40" s="23">
        <f t="shared" ca="1" si="68"/>
        <v>-2.3315118397085575E-2</v>
      </c>
      <c r="CT40" s="23">
        <f t="shared" ca="1" si="69"/>
        <v>-1.2952843553936432E-2</v>
      </c>
      <c r="CU40" s="23">
        <f t="shared" ca="1" si="70"/>
        <v>-6.8573877638486991E-3</v>
      </c>
      <c r="CV40" s="23">
        <f t="shared" ca="1" si="71"/>
        <v>-3.5325936965281178E-3</v>
      </c>
      <c r="CW40" s="23">
        <f t="shared" ca="1" si="72"/>
        <v>-1.7934706459296597E-3</v>
      </c>
      <c r="CX40" s="24">
        <f t="shared" ca="1" si="73"/>
        <v>1.7934706459296597E-3</v>
      </c>
      <c r="CY40" s="24">
        <f t="shared" ca="1" si="74"/>
        <v>3.5325936965281178E-3</v>
      </c>
      <c r="CZ40" s="24">
        <f t="shared" ca="1" si="75"/>
        <v>6.8573877638486991E-3</v>
      </c>
      <c r="DA40" s="24">
        <f t="shared" ca="1" si="76"/>
        <v>1.2952843553936432E-2</v>
      </c>
      <c r="DB40" s="24">
        <f t="shared" ca="1" si="77"/>
        <v>2.3315118397085575E-2</v>
      </c>
      <c r="DC40" s="24">
        <f t="shared" ca="1" si="78"/>
        <v>3.8858530661809297E-2</v>
      </c>
      <c r="DD40" s="24">
        <f t="shared" ca="1" si="79"/>
        <v>5.8287795992713942E-2</v>
      </c>
      <c r="DF40" s="19" cm="1">
        <f t="array" aca="1" ref="DF40" ca="1">MAX(_xlfn._xlws.FILTER(CQ40:DD40,CQ40:DD40&lt;BJ40))</f>
        <v>-1.7934706459296597E-3</v>
      </c>
      <c r="DG40" s="19" cm="1">
        <f t="array" aca="1" ref="DG40" ca="1">MIN(_xlfn._xlws.FILTER(CQ40:DD40,CQ40:DD40&gt;BJ40))</f>
        <v>1.7934706459296597E-3</v>
      </c>
      <c r="DH40" s="2" cm="1">
        <f t="array" aca="1" ref="DH40" ca="1">_FV(EE40,"Fechamento anterior",TRUE)</f>
        <v>17.440000000000001</v>
      </c>
      <c r="DI40" s="36">
        <f t="shared" ca="1" si="22"/>
        <v>0.5</v>
      </c>
      <c r="DJ40" s="18">
        <f t="shared" ca="1" si="80"/>
        <v>17.408721871934986</v>
      </c>
      <c r="DK40" s="18">
        <f t="shared" ca="1" si="81"/>
        <v>17.471278128065016</v>
      </c>
      <c r="DL40" s="9"/>
      <c r="DM40" s="9"/>
      <c r="DN40" s="9"/>
      <c r="DO40" s="9"/>
      <c r="DP40" s="79">
        <v>1.5579551074011459E-3</v>
      </c>
      <c r="DQ40" s="79">
        <v>3.0046190903647201E-3</v>
      </c>
      <c r="DR40" s="79">
        <v>3.2415217494127084E-3</v>
      </c>
      <c r="DS40" s="79">
        <f t="shared" ca="1" si="25"/>
        <v>3.5869412918593194E-3</v>
      </c>
      <c r="DT40" s="47"/>
      <c r="DU40" s="43">
        <f t="shared" si="26"/>
        <v>6.5383484153109725E-2</v>
      </c>
      <c r="DV40" s="83">
        <f t="shared" ca="1" si="27"/>
        <v>1.5076999999999998</v>
      </c>
      <c r="DW40" s="83">
        <f t="shared" ca="1" si="28"/>
        <v>1.0815999999999999</v>
      </c>
      <c r="DX40" s="83">
        <f t="shared" ca="1" si="29"/>
        <v>0.42609999999999992</v>
      </c>
      <c r="DY40" s="67"/>
      <c r="DZ40" s="67"/>
      <c r="EA40" s="85"/>
      <c r="EB40" s="44">
        <v>523600</v>
      </c>
      <c r="EC40" s="44" cm="1">
        <f t="array" aca="1" ref="EC40" ca="1">_FV(EE40,"Volume")</f>
        <v>1790800</v>
      </c>
      <c r="EE40" s="2" t="e" vm="40">
        <v>#VALUE!</v>
      </c>
      <c r="EG40" s="10" cm="1">
        <f t="array" aca="1" ref="EG40" ca="1">_FV(EE40,"Ações em circulação",TRUE)</f>
        <v>440977900</v>
      </c>
      <c r="EH40" s="21">
        <f>VLOOKUP(BH40,Fundamentus!A:U,5,FALSE)</f>
        <v>2.5110000000000001</v>
      </c>
      <c r="EI40" s="2">
        <f t="shared" ca="1" si="30"/>
        <v>3062785573.8749504</v>
      </c>
      <c r="EJ40" s="20">
        <v>577763238.42939067</v>
      </c>
      <c r="EK40" s="20">
        <f t="shared" ca="1" si="31"/>
        <v>580091587.69191563</v>
      </c>
      <c r="EM40" s="40" t="str">
        <f>IF(VLOOKUP(BH40,Fundamentus!A:U,3,FALSE)&lt;15,"Bom",IF(VLOOKUP(BH40,Fundamentus!A:U,3,FALSE)&gt;15,"Ruim","n/a"))</f>
        <v>Bom</v>
      </c>
      <c r="EN40" s="36" t="str">
        <f>IF(VLOOKUP(BH40,Fundamentus!A:U,4,FALSE)&lt;1,"Baixo",IF(VLOOKUP(BH40,Fundamentus!A:U,4,FALSE)&lt;1.5,"Moderado",IF(VLOOKUP(BH40,Fundamentus!A:U,4,FALSE)&gt;1.5,"Alto","n/a")))</f>
        <v>Alto</v>
      </c>
      <c r="EO40" s="20" t="str">
        <f>IF(VLOOKUP(BH40,Fundamentus!A:U,8,FALSE)&lt;0,"Risco elevado",IF(VLOOKUP(BH40,Fundamentus!A:U,8,FALSE)&lt;1,"Saudável",IF(VLOOKUP(BH40,Fundamentus!A:U,8,FALSE)&lt;3,"Estável",IF(VLOOKUP(BH40,Fundamentus!A:U,8,FALSE)&gt;3,"Alerta","n/a"))))</f>
        <v>Alerta</v>
      </c>
      <c r="EP40" s="36" t="str">
        <f t="shared" si="32"/>
        <v>Bom</v>
      </c>
      <c r="EQ40" s="20" t="str">
        <f>IF(VLOOKUP(BH40,Fundamentus!A:U,12,FALSE)&lt;2,"Subvalorizada",IF(VLOOKUP(BH40,Fundamentus!A:U,12,FALSE)&lt;6,"Muita barata",IF(VLOOKUP(BH40,Fundamentus!A:U,12,FALSE)&lt;6,"Barata",IF(VLOOKUP(BH40,Fundamentus!A:U,12,FALSE)&lt;8,"Atrativa",IF(VLOOKUP(BH40,Fundamentus!A:U,12,FALSE)&gt;8,"Supervalorizada","n/a")))))</f>
        <v>Atrativa</v>
      </c>
      <c r="ES40" s="20" t="str">
        <f>IF(VLOOKUP(BH40,Fundamentus!A:U,17,FALSE)&lt;0.1,"Fraco retorno",IF(VLOOKUP(BH40,Fundamentus!A:U,17,FALSE)&gt;0.1,"Bom retorno","n/a"))</f>
        <v>Bom retorno</v>
      </c>
      <c r="ET40" s="20" t="str">
        <f>IF(VLOOKUP(BH40,Fundamentus!A:U,16,FALSE)&lt;0.1,"Ineficiente",IF(VLOOKUP(BH40,Fundamentus!A:U,16,FALSE)&gt;0.1,"Eficiente","n/a"))</f>
        <v>Eficiente</v>
      </c>
      <c r="EU40" s="41" t="str">
        <f>IF(VLOOKUP(BH40,Fundamentus!A:U,16,FALSE)&lt;0.1,"Oper. Ineficiente",IF(VLOOKUP(BH40,Fundamentus!A:U,16,FALSE)&gt;0.1,"Oper.Eficiente","n/a"))</f>
        <v>Oper.Eficiente</v>
      </c>
      <c r="EV40" s="42">
        <f>VLOOKUP(BH40,Fundamentus!A:U,14,FALSE)</f>
        <v>0.18940000000000001</v>
      </c>
      <c r="EW40" s="20" t="str">
        <f>IF(VLOOKUP(BH40,Fundamentus!A:U,21,FALSE)&lt;0,"Negativo",IF(VLOOKUP(BH40,Fundamentus!A:U,21,FALSE)&lt;0.05,"Fraco",IF(VLOOKUP(BH40,Fundamentus!A:U,21,FALSE)&lt;0.1,"Bom",IF(VLOOKUP(BH40,Fundamentus!A:U,21,FALSE)&gt;0.1,"Muito bom","n/a"))))</f>
        <v>Fraco</v>
      </c>
      <c r="EY40" s="37" t="str">
        <f>IF(VLOOKUP(BH40,Fundamentus!A:U,15,FALSE)&gt;1,"Bom",IF(VLOOKUP(BH40,Fundamentus!A:U,15,FALSE)&lt;1,"Ruim","n/a"))</f>
        <v>Bom</v>
      </c>
      <c r="EZ40" s="20" t="str">
        <f>IF(VLOOKUP(BH40,Fundamentus!A:U,20,FALSE)&lt;0.5,"Baixa",IF(VLOOKUP(BH40,Fundamentus!A:U,20,FALSE)&lt;1,"Moderada",IF(VLOOKUP(BH40,Fundamentus!A:U,20,FALSE)&lt;2,"Alerta",IF(VLOOKUP(BH40,Fundamentus!A:U,20,FALSE)&gt;2,"Alta","n/a"))))</f>
        <v>Moderada</v>
      </c>
    </row>
    <row r="41" spans="1:156" s="2" customFormat="1" ht="11.25" hidden="1" x14ac:dyDescent="0.2">
      <c r="A41" s="4">
        <v>4.68</v>
      </c>
      <c r="B41" s="4">
        <v>4.54</v>
      </c>
      <c r="C41" s="4">
        <v>4.57</v>
      </c>
      <c r="D41" s="4">
        <v>4.4800000000000004</v>
      </c>
      <c r="E41" s="4">
        <v>4.25</v>
      </c>
      <c r="F41" s="4">
        <v>4.18</v>
      </c>
      <c r="G41" s="4">
        <v>4.05</v>
      </c>
      <c r="H41" s="4">
        <v>4.13</v>
      </c>
      <c r="I41" s="4">
        <v>4.1399999999999997</v>
      </c>
      <c r="J41" s="4">
        <v>4.46</v>
      </c>
      <c r="K41" s="4">
        <v>4.32</v>
      </c>
      <c r="L41" s="4">
        <v>4.2300000000000004</v>
      </c>
      <c r="M41" s="4">
        <v>4.17</v>
      </c>
      <c r="N41" s="4">
        <v>4.21</v>
      </c>
      <c r="O41" s="4">
        <v>4.3</v>
      </c>
      <c r="P41" s="4">
        <v>4.51</v>
      </c>
      <c r="Q41" s="4">
        <v>4.99</v>
      </c>
      <c r="R41" s="4">
        <v>4.8600000000000003</v>
      </c>
      <c r="S41" s="4">
        <v>4.82</v>
      </c>
      <c r="T41" s="4">
        <v>4.84</v>
      </c>
      <c r="U41" s="4">
        <v>4.9400000000000004</v>
      </c>
      <c r="V41" s="4">
        <v>4.74</v>
      </c>
      <c r="W41" s="4">
        <v>4.97</v>
      </c>
      <c r="X41" s="4">
        <v>4.88</v>
      </c>
      <c r="Y41" s="4">
        <v>4.7</v>
      </c>
      <c r="Z41" s="4">
        <v>4.68</v>
      </c>
      <c r="AA41" s="4">
        <v>4.5199999999999996</v>
      </c>
      <c r="AB41" s="4">
        <v>4.5999999999999996</v>
      </c>
      <c r="AC41" s="4">
        <v>4.47</v>
      </c>
      <c r="AD41" s="4">
        <v>4.5599999999999996</v>
      </c>
      <c r="AE41" s="4">
        <v>4.54</v>
      </c>
      <c r="AF41" s="4">
        <v>4.53</v>
      </c>
      <c r="AG41" s="4">
        <v>4.3499999999999996</v>
      </c>
      <c r="AH41" s="4">
        <v>4.05</v>
      </c>
      <c r="AI41" s="4">
        <v>4.3499999999999996</v>
      </c>
      <c r="AJ41" s="4">
        <v>4.34</v>
      </c>
      <c r="AK41" s="4">
        <v>4.25</v>
      </c>
      <c r="AL41" s="4">
        <v>4.4000000000000004</v>
      </c>
      <c r="AM41" s="4">
        <v>4.38</v>
      </c>
      <c r="AN41" s="4">
        <v>4.45</v>
      </c>
      <c r="AO41" s="4">
        <v>4.38</v>
      </c>
      <c r="AP41" s="4">
        <v>4.3899999999999997</v>
      </c>
      <c r="AQ41" s="4">
        <v>4.25</v>
      </c>
      <c r="AR41" s="4">
        <v>4.3600000000000003</v>
      </c>
      <c r="AS41" s="4">
        <v>4.47</v>
      </c>
      <c r="AT41" s="4">
        <v>4.4800000000000004</v>
      </c>
      <c r="AU41" s="4">
        <v>4.46</v>
      </c>
      <c r="AV41" s="4">
        <v>4.4400000000000004</v>
      </c>
      <c r="AW41" s="4">
        <v>4.3099999999999996</v>
      </c>
      <c r="AX41" s="4">
        <v>4.33</v>
      </c>
      <c r="AY41" s="12">
        <v>4.3</v>
      </c>
      <c r="AZ41" s="12">
        <v>4.51</v>
      </c>
      <c r="BA41" s="12">
        <v>4.8</v>
      </c>
      <c r="BB41" s="18">
        <v>4.95</v>
      </c>
      <c r="BC41" s="63">
        <v>5.3</v>
      </c>
      <c r="BD41" s="63">
        <v>5.3</v>
      </c>
      <c r="BE41" s="63">
        <v>5.3</v>
      </c>
      <c r="BF41" s="63">
        <v>5.18</v>
      </c>
      <c r="BG41" s="91" cm="1">
        <f t="array" aca="1" ref="BG41" ca="1">_FV(EE41,"Preço")</f>
        <v>5.68</v>
      </c>
      <c r="BH41" s="93" t="s">
        <v>39</v>
      </c>
      <c r="BI41" s="32" cm="1">
        <f t="array" aca="1" ref="BI41" ca="1">_FV(EE41,"Beta")</f>
        <v>1.2295</v>
      </c>
      <c r="BJ41" s="96" cm="1">
        <f t="array" aca="1" ref="BJ41" ca="1">_FV(EE41,"Variação (%)",TRUE)</f>
        <v>-5.1753E-2</v>
      </c>
      <c r="BK41" s="49"/>
      <c r="BL41" s="49"/>
      <c r="BN41" s="32"/>
      <c r="BO41" s="20" cm="1">
        <f t="array" aca="1" ref="BO41" ca="1">_FV(EE41,"Baixo")</f>
        <v>5.53</v>
      </c>
      <c r="BP41" s="20" cm="1">
        <f t="array" aca="1" ref="BP41" ca="1">_FV(EE41,"Alto")</f>
        <v>5.93</v>
      </c>
      <c r="BQ41" s="32"/>
      <c r="BR41" s="74">
        <f ca="1">SQRT(22.5*(BG41/VLOOKUP(BH41,Fundamentus!A:U,3,FALSE))*(BG41/VLOOKUP(BH41,Fundamentus!A:U,4,FALSE)))</f>
        <v>12.549103035014248</v>
      </c>
      <c r="BT41" s="73">
        <f t="shared" ca="1" si="0"/>
        <v>9.6525096525096526E-2</v>
      </c>
      <c r="BU41" s="36">
        <f t="shared" si="1"/>
        <v>0.13247863247863251</v>
      </c>
      <c r="BV41" s="8"/>
      <c r="BW41" s="72">
        <f t="shared" si="2"/>
        <v>4.05</v>
      </c>
      <c r="BX41" s="72">
        <f t="shared" si="3"/>
        <v>4.53344827586207</v>
      </c>
      <c r="BY41" s="72">
        <f t="shared" si="4"/>
        <v>5.3</v>
      </c>
      <c r="BZ41" s="17"/>
      <c r="CA41" s="17"/>
      <c r="CB41" s="43">
        <f t="shared" si="5"/>
        <v>5.08023815117099</v>
      </c>
      <c r="CC41" s="18">
        <f t="shared" si="6"/>
        <v>5.1841611996251231</v>
      </c>
      <c r="CD41" s="43">
        <f t="shared" si="7"/>
        <v>5.2880842480792563</v>
      </c>
      <c r="CE41" s="98">
        <f t="shared" ca="1" si="8"/>
        <v>4.7712110811849122</v>
      </c>
      <c r="CF41" s="17"/>
      <c r="CG41" s="20">
        <f t="shared" si="9"/>
        <v>3.1366666666666658</v>
      </c>
      <c r="CH41" s="20">
        <f t="shared" si="10"/>
        <v>3.5933333333333328</v>
      </c>
      <c r="CI41" s="20">
        <f t="shared" si="11"/>
        <v>4.3866666666666658</v>
      </c>
      <c r="CJ41" s="49">
        <f t="shared" si="12"/>
        <v>4.8433333333333328</v>
      </c>
      <c r="CK41" s="20">
        <f t="shared" si="13"/>
        <v>5.6366666666666658</v>
      </c>
      <c r="CL41" s="20">
        <f t="shared" si="14"/>
        <v>6.0933333333333328</v>
      </c>
      <c r="CM41" s="20">
        <f t="shared" si="15"/>
        <v>6.8866666666666658</v>
      </c>
      <c r="CN41" s="2" cm="1">
        <f t="array" aca="1" ref="CN41" ca="1">MAX(_xlfn._xlws.FILTER(CG41:CM41,CG41:CM41&lt;BG41))</f>
        <v>5.6366666666666658</v>
      </c>
      <c r="CO41" s="2" cm="1">
        <f t="array" aca="1" ref="CO41" ca="1">MIN(_xlfn._xlws.FILTER($CG41:$CM41,$CG41:$CM41&gt;BG41))</f>
        <v>6.0933333333333328</v>
      </c>
      <c r="CP41" s="19">
        <f t="shared" ca="1" si="65"/>
        <v>8.1017149615612238E-2</v>
      </c>
      <c r="CQ41" s="23">
        <f t="shared" ca="1" si="66"/>
        <v>-4.0508574807806119E-2</v>
      </c>
      <c r="CR41" s="23">
        <f t="shared" ca="1" si="67"/>
        <v>-2.7005716538537412E-2</v>
      </c>
      <c r="CS41" s="23">
        <f t="shared" ca="1" si="68"/>
        <v>-1.6203429923122448E-2</v>
      </c>
      <c r="CT41" s="23">
        <f t="shared" ca="1" si="69"/>
        <v>-9.001905512845805E-3</v>
      </c>
      <c r="CU41" s="23">
        <f t="shared" ca="1" si="70"/>
        <v>-4.7657146832713083E-3</v>
      </c>
      <c r="CV41" s="23">
        <f t="shared" ca="1" si="71"/>
        <v>-2.4550651398670374E-3</v>
      </c>
      <c r="CW41" s="23">
        <f t="shared" ca="1" si="72"/>
        <v>-1.2464176863940344E-3</v>
      </c>
      <c r="CX41" s="24">
        <f t="shared" ca="1" si="73"/>
        <v>1.2464176863940344E-3</v>
      </c>
      <c r="CY41" s="24">
        <f t="shared" ca="1" si="74"/>
        <v>2.4550651398670374E-3</v>
      </c>
      <c r="CZ41" s="24">
        <f t="shared" ca="1" si="75"/>
        <v>4.7657146832713083E-3</v>
      </c>
      <c r="DA41" s="24">
        <f t="shared" ca="1" si="76"/>
        <v>9.001905512845805E-3</v>
      </c>
      <c r="DB41" s="24">
        <f t="shared" ca="1" si="77"/>
        <v>1.6203429923122448E-2</v>
      </c>
      <c r="DC41" s="24">
        <f t="shared" ca="1" si="78"/>
        <v>2.7005716538537412E-2</v>
      </c>
      <c r="DD41" s="24">
        <f t="shared" ca="1" si="79"/>
        <v>4.0508574807806119E-2</v>
      </c>
      <c r="DF41" s="19" t="e" cm="1" vm="3">
        <f t="array" aca="1" ref="DF41" ca="1">MAX(_xlfn._xlws.FILTER(CQ41:DD41,CQ41:DD41&lt;BJ41))</f>
        <v>#VALUE!</v>
      </c>
      <c r="DG41" s="19" cm="1">
        <f t="array" aca="1" ref="DG41" ca="1">MIN(_xlfn._xlws.FILTER(CQ41:DD41,CQ41:DD41&gt;BJ41))</f>
        <v>-4.0508574807806119E-2</v>
      </c>
      <c r="DH41" s="2" cm="1">
        <f t="array" aca="1" ref="DH41" ca="1">_FV(EE41,"Fechamento anterior",TRUE)</f>
        <v>5.99</v>
      </c>
      <c r="DI41" s="36" t="e" vm="4">
        <f t="shared" ca="1" si="22"/>
        <v>#VALUE!</v>
      </c>
      <c r="DJ41" s="18" t="e" vm="4">
        <f t="shared" ca="1" si="80"/>
        <v>#VALUE!</v>
      </c>
      <c r="DK41" s="18">
        <f t="shared" ca="1" si="81"/>
        <v>5.7473536369012415</v>
      </c>
      <c r="DL41" s="9"/>
      <c r="DM41" s="9"/>
      <c r="DN41" s="9"/>
      <c r="DO41" s="9"/>
      <c r="DP41" s="79">
        <v>7.0064614108888961E-3</v>
      </c>
      <c r="DQ41" s="79">
        <v>4.1230330610230815E-3</v>
      </c>
      <c r="DR41" s="79">
        <v>3.8217062241212157E-3</v>
      </c>
      <c r="DS41" s="79" t="e" vm="4">
        <f t="shared" ca="1" si="25"/>
        <v>#VALUE!</v>
      </c>
      <c r="DT41" s="47"/>
      <c r="DU41" s="43">
        <f t="shared" si="26"/>
        <v>5.1961524227066368E-2</v>
      </c>
      <c r="DV41" s="83">
        <f t="shared" ca="1" si="27"/>
        <v>1.6556</v>
      </c>
      <c r="DW41" s="83">
        <f t="shared" ca="1" si="28"/>
        <v>6.4047999999999998</v>
      </c>
      <c r="DX41" s="83">
        <f t="shared" ca="1" si="29"/>
        <v>-4.7492000000000001</v>
      </c>
      <c r="DY41" s="67"/>
      <c r="DZ41" s="67"/>
      <c r="EA41" s="85"/>
      <c r="EB41" s="44">
        <v>102600</v>
      </c>
      <c r="EC41" s="44" cm="1">
        <f t="array" aca="1" ref="EC41" ca="1">_FV(EE41,"Volume")</f>
        <v>677300</v>
      </c>
      <c r="EE41" s="2" t="e" vm="41">
        <v>#VALUE!</v>
      </c>
      <c r="EG41" s="10" cm="1">
        <f t="array" aca="1" ref="EG41" ca="1">_FV(EE41,"Ações em circulação",TRUE)</f>
        <v>226428400</v>
      </c>
      <c r="EH41" s="21">
        <f>VLOOKUP(BH41,Fundamentus!A:U,5,FALSE)</f>
        <v>0</v>
      </c>
      <c r="EI41" s="2" t="e">
        <f t="shared" ca="1" si="30"/>
        <v>#DIV/0!</v>
      </c>
      <c r="EJ41" s="20" t="e">
        <v>#DIV/0!</v>
      </c>
      <c r="EK41" s="20" t="e">
        <f t="shared" ca="1" si="31"/>
        <v>#DIV/0!</v>
      </c>
      <c r="EM41" s="40" t="str">
        <f>IF(VLOOKUP(BH41,Fundamentus!A:U,3,FALSE)&lt;15,"Bom",IF(VLOOKUP(BH41,Fundamentus!A:U,3,FALSE)&gt;15,"Ruim","n/a"))</f>
        <v>Bom</v>
      </c>
      <c r="EN41" s="36" t="str">
        <f>IF(VLOOKUP(BH41,Fundamentus!A:U,4,FALSE)&lt;1,"Baixo",IF(VLOOKUP(BH41,Fundamentus!A:U,4,FALSE)&lt;1.5,"Moderado",IF(VLOOKUP(BH41,Fundamentus!A:U,4,FALSE)&gt;1.5,"Alto","n/a")))</f>
        <v>Moderado</v>
      </c>
      <c r="EO41" s="20" t="str">
        <f>IF(VLOOKUP(BH41,Fundamentus!A:U,8,FALSE)&lt;0,"Risco elevado",IF(VLOOKUP(BH41,Fundamentus!A:U,8,FALSE)&lt;1,"Saudável",IF(VLOOKUP(BH41,Fundamentus!A:U,8,FALSE)&lt;3,"Estável",IF(VLOOKUP(BH41,Fundamentus!A:U,8,FALSE)&gt;3,"Alerta","n/a"))))</f>
        <v>Saudável</v>
      </c>
      <c r="EP41" s="36" t="str">
        <f t="shared" si="32"/>
        <v>Ruim</v>
      </c>
      <c r="EQ41" s="20" t="str">
        <f>IF(VLOOKUP(BH41,Fundamentus!A:U,12,FALSE)&lt;2,"Subvalorizada",IF(VLOOKUP(BH41,Fundamentus!A:U,12,FALSE)&lt;6,"Muita barata",IF(VLOOKUP(BH41,Fundamentus!A:U,12,FALSE)&lt;6,"Barata",IF(VLOOKUP(BH41,Fundamentus!A:U,12,FALSE)&lt;8,"Atrativa",IF(VLOOKUP(BH41,Fundamentus!A:U,12,FALSE)&gt;8,"Supervalorizada","n/a")))))</f>
        <v>Subvalorizada</v>
      </c>
      <c r="ES41" s="20" t="str">
        <f>IF(VLOOKUP(BH41,Fundamentus!A:U,17,FALSE)&lt;0.1,"Fraco retorno",IF(VLOOKUP(BH41,Fundamentus!A:U,17,FALSE)&gt;0.1,"Bom retorno","n/a"))</f>
        <v>Bom retorno</v>
      </c>
      <c r="ET41" s="20" t="str">
        <f>IF(VLOOKUP(BH41,Fundamentus!A:U,16,FALSE)&lt;0.1,"Ineficiente",IF(VLOOKUP(BH41,Fundamentus!A:U,16,FALSE)&gt;0.1,"Eficiente","n/a"))</f>
        <v>Ineficiente</v>
      </c>
      <c r="EU41" s="41" t="str">
        <f>IF(VLOOKUP(BH41,Fundamentus!A:U,16,FALSE)&lt;0.1,"Oper. Ineficiente",IF(VLOOKUP(BH41,Fundamentus!A:U,16,FALSE)&gt;0.1,"Oper.Eficiente","n/a"))</f>
        <v>Oper. Ineficiente</v>
      </c>
      <c r="EV41" s="42">
        <f>VLOOKUP(BH41,Fundamentus!A:U,14,FALSE)</f>
        <v>0</v>
      </c>
      <c r="EW41" s="20" t="str">
        <f>IF(VLOOKUP(BH41,Fundamentus!A:U,21,FALSE)&lt;0,"Negativo",IF(VLOOKUP(BH41,Fundamentus!A:U,21,FALSE)&lt;0.05,"Fraco",IF(VLOOKUP(BH41,Fundamentus!A:U,21,FALSE)&lt;0.1,"Bom",IF(VLOOKUP(BH41,Fundamentus!A:U,21,FALSE)&gt;0.1,"Muito bom","n/a"))))</f>
        <v>Muito bom</v>
      </c>
      <c r="EY41" s="37" t="str">
        <f>IF(VLOOKUP(BH41,Fundamentus!A:U,15,FALSE)&gt;1,"Bom",IF(VLOOKUP(BH41,Fundamentus!A:U,15,FALSE)&lt;1,"Ruim","n/a"))</f>
        <v>Ruim</v>
      </c>
      <c r="EZ41" s="20" t="str">
        <f>IF(VLOOKUP(BH41,Fundamentus!A:U,20,FALSE)&lt;0.5,"Baixa",IF(VLOOKUP(BH41,Fundamentus!A:U,20,FALSE)&lt;1,"Moderada",IF(VLOOKUP(BH41,Fundamentus!A:U,20,FALSE)&lt;2,"Alerta",IF(VLOOKUP(BH41,Fundamentus!A:U,20,FALSE)&gt;2,"Alta","n/a"))))</f>
        <v>Baixa</v>
      </c>
    </row>
    <row r="42" spans="1:156" s="2" customFormat="1" ht="11.25" hidden="1" x14ac:dyDescent="0.2">
      <c r="A42" s="4">
        <v>9.83</v>
      </c>
      <c r="B42" s="4">
        <v>9.94</v>
      </c>
      <c r="C42" s="4">
        <v>10.29</v>
      </c>
      <c r="D42" s="4">
        <v>10.07</v>
      </c>
      <c r="E42" s="4">
        <v>9.8000000000000007</v>
      </c>
      <c r="F42" s="4">
        <v>9.74</v>
      </c>
      <c r="G42" s="4">
        <v>9.6199999999999992</v>
      </c>
      <c r="H42" s="4">
        <v>9.6999999999999993</v>
      </c>
      <c r="I42" s="4">
        <v>9.84</v>
      </c>
      <c r="J42" s="4">
        <v>9.94</v>
      </c>
      <c r="K42" s="4">
        <v>10.19</v>
      </c>
      <c r="L42" s="4">
        <v>10.34</v>
      </c>
      <c r="M42" s="4">
        <v>10.24</v>
      </c>
      <c r="N42" s="4">
        <v>9.86</v>
      </c>
      <c r="O42" s="4">
        <v>10.31</v>
      </c>
      <c r="P42" s="4">
        <v>10.94</v>
      </c>
      <c r="Q42" s="4">
        <v>10.96</v>
      </c>
      <c r="R42" s="4">
        <v>10.92</v>
      </c>
      <c r="S42" s="4">
        <v>11.18</v>
      </c>
      <c r="T42" s="4">
        <v>11.17</v>
      </c>
      <c r="U42" s="4">
        <v>10.91</v>
      </c>
      <c r="V42" s="4">
        <v>11.15</v>
      </c>
      <c r="W42" s="4">
        <v>10.63</v>
      </c>
      <c r="X42" s="4">
        <v>10.49</v>
      </c>
      <c r="Y42" s="4">
        <v>10.56</v>
      </c>
      <c r="Z42" s="4">
        <v>10.61</v>
      </c>
      <c r="AA42" s="4">
        <v>10.49</v>
      </c>
      <c r="AB42" s="4">
        <v>10.74</v>
      </c>
      <c r="AC42" s="4">
        <v>10.49</v>
      </c>
      <c r="AD42" s="4">
        <v>10.27</v>
      </c>
      <c r="AE42" s="4">
        <v>9.93</v>
      </c>
      <c r="AF42" s="4">
        <v>9.4499999999999993</v>
      </c>
      <c r="AG42" s="4">
        <v>9.31</v>
      </c>
      <c r="AH42" s="4">
        <v>8.94</v>
      </c>
      <c r="AI42" s="4">
        <v>9</v>
      </c>
      <c r="AJ42" s="4">
        <v>8.74</v>
      </c>
      <c r="AK42" s="4">
        <v>8.84</v>
      </c>
      <c r="AL42" s="4">
        <v>9.18</v>
      </c>
      <c r="AM42" s="4">
        <v>9.3000000000000007</v>
      </c>
      <c r="AN42" s="4">
        <v>9.6199999999999992</v>
      </c>
      <c r="AO42" s="4">
        <v>9.6300000000000008</v>
      </c>
      <c r="AP42" s="4">
        <v>9.9600000000000009</v>
      </c>
      <c r="AQ42" s="4">
        <v>9.1999999999999993</v>
      </c>
      <c r="AR42" s="4">
        <v>9.14</v>
      </c>
      <c r="AS42" s="4">
        <v>9.39</v>
      </c>
      <c r="AT42" s="4">
        <v>9.6</v>
      </c>
      <c r="AU42" s="4">
        <v>9.9600000000000009</v>
      </c>
      <c r="AV42" s="4">
        <v>9.8699999999999992</v>
      </c>
      <c r="AW42" s="4">
        <v>9.49</v>
      </c>
      <c r="AX42" s="4">
        <v>9.73</v>
      </c>
      <c r="AY42" s="12">
        <v>9.9700000000000006</v>
      </c>
      <c r="AZ42" s="12">
        <v>10.57</v>
      </c>
      <c r="BA42" s="12">
        <v>10.7</v>
      </c>
      <c r="BB42" s="18">
        <v>10.61</v>
      </c>
      <c r="BC42" s="63">
        <v>11.12</v>
      </c>
      <c r="BD42" s="63">
        <v>11.08</v>
      </c>
      <c r="BE42" s="63">
        <v>11.07</v>
      </c>
      <c r="BF42" s="63">
        <v>10.87</v>
      </c>
      <c r="BG42" s="91" cm="1">
        <f t="array" aca="1" ref="BG42" ca="1">_FV(EE42,"Preço")</f>
        <v>10.73</v>
      </c>
      <c r="BH42" s="93" t="s">
        <v>40</v>
      </c>
      <c r="BI42" s="32" cm="1">
        <f t="array" aca="1" ref="BI42" ca="1">_FV(EE42,"Beta")</f>
        <v>1.1931</v>
      </c>
      <c r="BJ42" s="96" cm="1">
        <f t="array" aca="1" ref="BJ42" ca="1">_FV(EE42,"Variação (%)",TRUE)</f>
        <v>-6.4809999999999998E-3</v>
      </c>
      <c r="BK42" s="49"/>
      <c r="BL42" s="49"/>
      <c r="BN42" s="32"/>
      <c r="BO42" s="20" cm="1">
        <f t="array" aca="1" ref="BO42" ca="1">_FV(EE42,"Baixo")</f>
        <v>10.68</v>
      </c>
      <c r="BP42" s="20" cm="1">
        <f t="array" aca="1" ref="BP42" ca="1">_FV(EE42,"Alto")</f>
        <v>10.86</v>
      </c>
      <c r="BQ42" s="32"/>
      <c r="BR42" s="74">
        <f ca="1">SQRT(22.5*(BG42/VLOOKUP(BH42,Fundamentus!A:U,3,FALSE))*(BG42/VLOOKUP(BH42,Fundamentus!A:U,4,FALSE)))</f>
        <v>15.523252043992604</v>
      </c>
      <c r="BT42" s="73">
        <f t="shared" ca="1" si="0"/>
        <v>-1.2879484820607065E-2</v>
      </c>
      <c r="BU42" s="36">
        <f t="shared" si="1"/>
        <v>0.1261444557477111</v>
      </c>
      <c r="BV42" s="8"/>
      <c r="BW42" s="72">
        <f t="shared" si="2"/>
        <v>8.74</v>
      </c>
      <c r="BX42" s="72">
        <f t="shared" si="3"/>
        <v>10.094655172413795</v>
      </c>
      <c r="BY42" s="72">
        <f t="shared" si="4"/>
        <v>11.18</v>
      </c>
      <c r="BZ42" s="17"/>
      <c r="CA42" s="17"/>
      <c r="CB42" s="43">
        <f t="shared" si="5"/>
        <v>10.658178139417483</v>
      </c>
      <c r="CC42" s="18">
        <f t="shared" si="6"/>
        <v>10.852343017806959</v>
      </c>
      <c r="CD42" s="43">
        <f t="shared" si="7"/>
        <v>11.046507896196434</v>
      </c>
      <c r="CE42" s="98">
        <f t="shared" ca="1" si="8"/>
        <v>-0.63009859878752328</v>
      </c>
      <c r="CF42" s="17"/>
      <c r="CG42" s="20">
        <f t="shared" si="9"/>
        <v>6.9066666666666681</v>
      </c>
      <c r="CH42" s="20">
        <f t="shared" si="10"/>
        <v>7.8233333333333341</v>
      </c>
      <c r="CI42" s="20">
        <f t="shared" si="11"/>
        <v>9.3466666666666676</v>
      </c>
      <c r="CJ42" s="49">
        <f t="shared" si="12"/>
        <v>10.263333333333334</v>
      </c>
      <c r="CK42" s="20">
        <f t="shared" si="13"/>
        <v>11.786666666666667</v>
      </c>
      <c r="CL42" s="20">
        <f t="shared" si="14"/>
        <v>12.703333333333333</v>
      </c>
      <c r="CM42" s="20">
        <f t="shared" si="15"/>
        <v>14.226666666666667</v>
      </c>
      <c r="CN42" s="2" cm="1">
        <f t="array" aca="1" ref="CN42" ca="1">MAX(_xlfn._xlws.FILTER(CG42:CM42,CG42:CM42&lt;BG42))</f>
        <v>10.263333333333334</v>
      </c>
      <c r="CO42" s="2" cm="1">
        <f t="array" aca="1" ref="CO42" ca="1">MIN(_xlfn._xlws.FILTER($CG42:$CM42,$CG42:$CM42&gt;BG42))</f>
        <v>11.786666666666667</v>
      </c>
      <c r="CP42" s="19">
        <f t="shared" ca="1" si="65"/>
        <v>0.1484248132510555</v>
      </c>
      <c r="CQ42" s="23">
        <f t="shared" ca="1" si="66"/>
        <v>-7.4212406625527749E-2</v>
      </c>
      <c r="CR42" s="23">
        <f t="shared" ca="1" si="67"/>
        <v>-4.9474937750351833E-2</v>
      </c>
      <c r="CS42" s="23">
        <f t="shared" ca="1" si="68"/>
        <v>-2.9684962650211099E-2</v>
      </c>
      <c r="CT42" s="23">
        <f t="shared" ca="1" si="69"/>
        <v>-1.6491645916783943E-2</v>
      </c>
      <c r="CU42" s="23">
        <f t="shared" ca="1" si="70"/>
        <v>-8.7308713677091473E-3</v>
      </c>
      <c r="CV42" s="23">
        <f t="shared" ca="1" si="71"/>
        <v>-4.4977216136683484E-3</v>
      </c>
      <c r="CW42" s="23">
        <f t="shared" ca="1" si="72"/>
        <v>-2.2834586654008537E-3</v>
      </c>
      <c r="CX42" s="24">
        <f t="shared" ca="1" si="73"/>
        <v>2.2834586654008537E-3</v>
      </c>
      <c r="CY42" s="24">
        <f t="shared" ca="1" si="74"/>
        <v>4.4977216136683484E-3</v>
      </c>
      <c r="CZ42" s="24">
        <f t="shared" ca="1" si="75"/>
        <v>8.7308713677091473E-3</v>
      </c>
      <c r="DA42" s="24">
        <f t="shared" ca="1" si="76"/>
        <v>1.6491645916783943E-2</v>
      </c>
      <c r="DB42" s="24">
        <f t="shared" ca="1" si="77"/>
        <v>2.9684962650211099E-2</v>
      </c>
      <c r="DC42" s="24">
        <f t="shared" ca="1" si="78"/>
        <v>4.9474937750351833E-2</v>
      </c>
      <c r="DD42" s="24">
        <f t="shared" ca="1" si="79"/>
        <v>7.4212406625527749E-2</v>
      </c>
      <c r="DF42" s="19" cm="1">
        <f t="array" aca="1" ref="DF42" ca="1">MAX(_xlfn._xlws.FILTER(CQ42:DD42,CQ42:DD42&lt;BJ42))</f>
        <v>-8.7308713677091473E-3</v>
      </c>
      <c r="DG42" s="19" cm="1">
        <f t="array" aca="1" ref="DG42" ca="1">MIN(_xlfn._xlws.FILTER(CQ42:DD42,CQ42:DD42&gt;BJ42))</f>
        <v>-4.4977216136683484E-3</v>
      </c>
      <c r="DH42" s="2" cm="1">
        <f t="array" aca="1" ref="DH42" ca="1">_FV(EE42,"Fechamento anterior",TRUE)</f>
        <v>10.8</v>
      </c>
      <c r="DI42" s="36">
        <f t="shared" ca="1" si="22"/>
        <v>0.53137498480428591</v>
      </c>
      <c r="DJ42" s="18">
        <f t="shared" ca="1" si="80"/>
        <v>10.705706589228742</v>
      </c>
      <c r="DK42" s="18">
        <f t="shared" ca="1" si="81"/>
        <v>10.751424606572382</v>
      </c>
      <c r="DL42" s="9"/>
      <c r="DM42" s="9"/>
      <c r="DN42" s="9"/>
      <c r="DO42" s="9"/>
      <c r="DP42" s="79">
        <v>5.954625439919565E-3</v>
      </c>
      <c r="DQ42" s="79">
        <v>3.6509372979961195E-3</v>
      </c>
      <c r="DR42" s="79">
        <v>6.2042071730653015E-3</v>
      </c>
      <c r="DS42" s="79">
        <f t="shared" ca="1" si="25"/>
        <v>4.2331497540407988E-3</v>
      </c>
      <c r="DT42" s="47"/>
      <c r="DU42" s="43">
        <f t="shared" si="26"/>
        <v>9.708243919473819E-2</v>
      </c>
      <c r="DV42" s="83">
        <f t="shared" ca="1" si="27"/>
        <v>1.6192</v>
      </c>
      <c r="DW42" s="83">
        <f t="shared" ca="1" si="28"/>
        <v>1.8412000000000002</v>
      </c>
      <c r="DX42" s="83">
        <f t="shared" ca="1" si="29"/>
        <v>-0.2220000000000002</v>
      </c>
      <c r="DY42" s="67"/>
      <c r="DZ42" s="67"/>
      <c r="EA42" s="85"/>
      <c r="EB42" s="44">
        <v>58800</v>
      </c>
      <c r="EC42" s="44" cm="1">
        <f t="array" aca="1" ref="EC42" ca="1">_FV(EE42,"Volume")</f>
        <v>59300</v>
      </c>
      <c r="EE42" s="2" t="e" vm="42">
        <v>#VALUE!</v>
      </c>
      <c r="EG42" s="10" cm="1">
        <f t="array" aca="1" ref="EG42" ca="1">_FV(EE42,"Ações em circulação",TRUE)</f>
        <v>10993810000</v>
      </c>
      <c r="EH42" s="21">
        <f>VLOOKUP(BH42,Fundamentus!A:U,5,FALSE)</f>
        <v>14.449</v>
      </c>
      <c r="EI42" s="2">
        <f t="shared" ca="1" si="30"/>
        <v>8164134632.1544743</v>
      </c>
      <c r="EJ42" s="20">
        <v>15515751455.270258</v>
      </c>
      <c r="EK42" s="20">
        <f t="shared" ca="1" si="31"/>
        <v>15315916569.921793</v>
      </c>
      <c r="EM42" s="40" t="str">
        <f>IF(VLOOKUP(BH42,Fundamentus!A:U,3,FALSE)&lt;15,"Bom",IF(VLOOKUP(BH42,Fundamentus!A:U,3,FALSE)&gt;15,"Ruim","n/a"))</f>
        <v>Bom</v>
      </c>
      <c r="EN42" s="36" t="str">
        <f>IF(VLOOKUP(BH42,Fundamentus!A:U,4,FALSE)&lt;1,"Baixo",IF(VLOOKUP(BH42,Fundamentus!A:U,4,FALSE)&lt;1.5,"Moderado",IF(VLOOKUP(BH42,Fundamentus!A:U,4,FALSE)&gt;1.5,"Alto","n/a")))</f>
        <v>Moderado</v>
      </c>
      <c r="EO42" s="20" t="str">
        <f>IF(VLOOKUP(BH42,Fundamentus!A:U,8,FALSE)&lt;0,"Risco elevado",IF(VLOOKUP(BH42,Fundamentus!A:U,8,FALSE)&lt;1,"Saudável",IF(VLOOKUP(BH42,Fundamentus!A:U,8,FALSE)&lt;3,"Estável",IF(VLOOKUP(BH42,Fundamentus!A:U,8,FALSE)&gt;3,"Alerta","n/a"))))</f>
        <v>Alerta</v>
      </c>
      <c r="EP42" s="36" t="str">
        <f t="shared" si="32"/>
        <v>Bom</v>
      </c>
      <c r="EQ42" s="20" t="str">
        <f>IF(VLOOKUP(BH42,Fundamentus!A:U,12,FALSE)&lt;2,"Subvalorizada",IF(VLOOKUP(BH42,Fundamentus!A:U,12,FALSE)&lt;6,"Muita barata",IF(VLOOKUP(BH42,Fundamentus!A:U,12,FALSE)&lt;6,"Barata",IF(VLOOKUP(BH42,Fundamentus!A:U,12,FALSE)&lt;8,"Atrativa",IF(VLOOKUP(BH42,Fundamentus!A:U,12,FALSE)&gt;8,"Supervalorizada","n/a")))))</f>
        <v>Supervalorizada</v>
      </c>
      <c r="ES42" s="20" t="str">
        <f>IF(VLOOKUP(BH42,Fundamentus!A:U,17,FALSE)&lt;0.1,"Fraco retorno",IF(VLOOKUP(BH42,Fundamentus!A:U,17,FALSE)&gt;0.1,"Bom retorno","n/a"))</f>
        <v>Bom retorno</v>
      </c>
      <c r="ET42" s="20" t="str">
        <f>IF(VLOOKUP(BH42,Fundamentus!A:U,16,FALSE)&lt;0.1,"Ineficiente",IF(VLOOKUP(BH42,Fundamentus!A:U,16,FALSE)&gt;0.1,"Eficiente","n/a"))</f>
        <v>Ineficiente</v>
      </c>
      <c r="EU42" s="41" t="str">
        <f>IF(VLOOKUP(BH42,Fundamentus!A:U,16,FALSE)&lt;0.1,"Oper. Ineficiente",IF(VLOOKUP(BH42,Fundamentus!A:U,16,FALSE)&gt;0.1,"Oper.Eficiente","n/a"))</f>
        <v>Oper. Ineficiente</v>
      </c>
      <c r="EV42" s="42">
        <f>VLOOKUP(BH42,Fundamentus!A:U,14,FALSE)</f>
        <v>1.8759999999999999</v>
      </c>
      <c r="EW42" s="20" t="str">
        <f>IF(VLOOKUP(BH42,Fundamentus!A:U,21,FALSE)&lt;0,"Negativo",IF(VLOOKUP(BH42,Fundamentus!A:U,21,FALSE)&lt;0.05,"Fraco",IF(VLOOKUP(BH42,Fundamentus!A:U,21,FALSE)&lt;0.1,"Bom",IF(VLOOKUP(BH42,Fundamentus!A:U,21,FALSE)&gt;0.1,"Muito bom","n/a"))))</f>
        <v>Fraco</v>
      </c>
      <c r="EY42" s="37" t="str">
        <f>IF(VLOOKUP(BH42,Fundamentus!A:U,15,FALSE)&gt;1,"Bom",IF(VLOOKUP(BH42,Fundamentus!A:U,15,FALSE)&lt;1,"Ruim","n/a"))</f>
        <v>Bom</v>
      </c>
      <c r="EZ42" s="20" t="str">
        <f>IF(VLOOKUP(BH42,Fundamentus!A:U,20,FALSE)&lt;0.5,"Baixa",IF(VLOOKUP(BH42,Fundamentus!A:U,20,FALSE)&lt;1,"Moderada",IF(VLOOKUP(BH42,Fundamentus!A:U,20,FALSE)&lt;2,"Alerta",IF(VLOOKUP(BH42,Fundamentus!A:U,20,FALSE)&gt;2,"Alta","n/a"))))</f>
        <v>Baixa</v>
      </c>
    </row>
    <row r="43" spans="1:156" s="2" customFormat="1" ht="11.25" hidden="1" x14ac:dyDescent="0.2">
      <c r="A43" s="4">
        <v>1.58</v>
      </c>
      <c r="B43" s="4">
        <v>1.5</v>
      </c>
      <c r="C43" s="4">
        <v>1.4</v>
      </c>
      <c r="D43" s="4">
        <v>1.38</v>
      </c>
      <c r="E43" s="4">
        <v>1.32</v>
      </c>
      <c r="F43" s="4">
        <v>1.28</v>
      </c>
      <c r="G43" s="4">
        <v>1.25</v>
      </c>
      <c r="H43" s="4">
        <v>1.24</v>
      </c>
      <c r="I43" s="4">
        <v>1.25</v>
      </c>
      <c r="J43" s="4">
        <v>1.42</v>
      </c>
      <c r="K43" s="4">
        <v>1.55</v>
      </c>
      <c r="L43" s="4">
        <v>1.44</v>
      </c>
      <c r="M43" s="4">
        <v>1.57</v>
      </c>
      <c r="N43" s="4">
        <v>1.55</v>
      </c>
      <c r="O43" s="4">
        <v>1.59</v>
      </c>
      <c r="P43" s="4">
        <v>1.59</v>
      </c>
      <c r="Q43" s="4">
        <v>1.74</v>
      </c>
      <c r="R43" s="4">
        <v>1.59</v>
      </c>
      <c r="S43" s="4">
        <v>1.46</v>
      </c>
      <c r="T43" s="4">
        <v>1.43</v>
      </c>
      <c r="U43" s="4">
        <v>1.33</v>
      </c>
      <c r="V43" s="4">
        <v>1.36</v>
      </c>
      <c r="W43" s="4">
        <v>1.43</v>
      </c>
      <c r="X43" s="4">
        <v>1.37</v>
      </c>
      <c r="Y43" s="4">
        <v>1.36</v>
      </c>
      <c r="Z43" s="4">
        <v>1.4</v>
      </c>
      <c r="AA43" s="4">
        <v>1.27</v>
      </c>
      <c r="AB43" s="4">
        <v>1.32</v>
      </c>
      <c r="AC43" s="4">
        <v>1.27</v>
      </c>
      <c r="AD43" s="4">
        <v>1.32</v>
      </c>
      <c r="AE43" s="4">
        <v>1.26</v>
      </c>
      <c r="AF43" s="4">
        <v>1.2</v>
      </c>
      <c r="AG43" s="4">
        <v>1.07</v>
      </c>
      <c r="AH43" s="4">
        <v>0.98</v>
      </c>
      <c r="AI43" s="4">
        <v>0.97</v>
      </c>
      <c r="AJ43" s="4">
        <v>0.97</v>
      </c>
      <c r="AK43" s="4">
        <v>0.94</v>
      </c>
      <c r="AL43" s="4">
        <v>0.91</v>
      </c>
      <c r="AM43" s="4">
        <v>0.97</v>
      </c>
      <c r="AN43" s="4">
        <v>1.01</v>
      </c>
      <c r="AO43" s="4">
        <v>0.98</v>
      </c>
      <c r="AP43" s="4">
        <v>1</v>
      </c>
      <c r="AQ43" s="4">
        <v>0.99</v>
      </c>
      <c r="AR43" s="4">
        <v>0.95</v>
      </c>
      <c r="AS43" s="4">
        <v>0.95</v>
      </c>
      <c r="AT43" s="4">
        <v>1.1000000000000001</v>
      </c>
      <c r="AU43" s="4">
        <v>1.1000000000000001</v>
      </c>
      <c r="AV43" s="4">
        <v>1.34</v>
      </c>
      <c r="AW43" s="4">
        <v>1.26</v>
      </c>
      <c r="AX43" s="4">
        <v>1.22</v>
      </c>
      <c r="AY43" s="12">
        <v>1.28</v>
      </c>
      <c r="AZ43" s="12">
        <v>1.31</v>
      </c>
      <c r="BA43" s="12">
        <v>1.19</v>
      </c>
      <c r="BB43" s="18">
        <v>1.44</v>
      </c>
      <c r="BC43" s="63">
        <v>1.36</v>
      </c>
      <c r="BD43" s="63">
        <v>1.2</v>
      </c>
      <c r="BE43" s="63">
        <v>1.19</v>
      </c>
      <c r="BF43" s="63">
        <v>1.1399999999999999</v>
      </c>
      <c r="BG43" s="91" cm="1">
        <f t="array" aca="1" ref="BG43" ca="1">_FV(EE43,"Preço")</f>
        <v>1.1299999999999999</v>
      </c>
      <c r="BH43" s="93" t="s">
        <v>41</v>
      </c>
      <c r="BI43" s="32" cm="1">
        <f t="array" aca="1" ref="BI43" ca="1">_FV(EE43,"Beta")</f>
        <v>2.0644999999999998</v>
      </c>
      <c r="BJ43" s="96" cm="1">
        <f t="array" aca="1" ref="BJ43" ca="1">_FV(EE43,"Variação (%)",TRUE)</f>
        <v>-8.7720000000000003E-3</v>
      </c>
      <c r="BK43" s="49"/>
      <c r="BL43" s="49"/>
      <c r="BN43" s="32"/>
      <c r="BO43" s="20" cm="1">
        <f t="array" aca="1" ref="BO43" ca="1">_FV(EE43,"Baixo")</f>
        <v>1.1200000000000001</v>
      </c>
      <c r="BP43" s="20" cm="1">
        <f t="array" aca="1" ref="BP43" ca="1">_FV(EE43,"Alto")</f>
        <v>1.1399999999999999</v>
      </c>
      <c r="BQ43" s="32"/>
      <c r="BR43" s="74" t="e">
        <f ca="1">SQRT(22.5*(BG43/VLOOKUP(BH43,Fundamentus!A:U,3,FALSE))*(BG43/VLOOKUP(BH43,Fundamentus!A:U,4,FALSE)))</f>
        <v>#NUM!</v>
      </c>
      <c r="BT43" s="73">
        <f t="shared" ca="1" si="0"/>
        <v>-8.7719298245614117E-3</v>
      </c>
      <c r="BU43" s="36">
        <f t="shared" si="1"/>
        <v>-0.24683544303797475</v>
      </c>
      <c r="BV43" s="8"/>
      <c r="BW43" s="72">
        <f t="shared" si="2"/>
        <v>0.91</v>
      </c>
      <c r="BX43" s="72">
        <f t="shared" si="3"/>
        <v>1.2731034482758619</v>
      </c>
      <c r="BY43" s="72">
        <f t="shared" si="4"/>
        <v>1.74</v>
      </c>
      <c r="BZ43" s="17"/>
      <c r="CA43" s="17"/>
      <c r="CB43" s="43">
        <f t="shared" si="5"/>
        <v>0.89215876990852583</v>
      </c>
      <c r="CC43" s="18">
        <f t="shared" si="6"/>
        <v>1.0573102155576635</v>
      </c>
      <c r="CD43" s="43">
        <f t="shared" si="7"/>
        <v>1.2224616612068011</v>
      </c>
      <c r="CE43" s="98">
        <f t="shared" ca="1" si="8"/>
        <v>0.4401401644207526</v>
      </c>
      <c r="CF43" s="17"/>
      <c r="CG43" s="20">
        <f t="shared" si="9"/>
        <v>-4.3333333333333113E-2</v>
      </c>
      <c r="CH43" s="20">
        <f t="shared" si="10"/>
        <v>0.43333333333333346</v>
      </c>
      <c r="CI43" s="20">
        <f t="shared" si="11"/>
        <v>0.78666666666666685</v>
      </c>
      <c r="CJ43" s="49">
        <f t="shared" si="12"/>
        <v>1.2633333333333334</v>
      </c>
      <c r="CK43" s="20">
        <f t="shared" si="13"/>
        <v>1.6166666666666667</v>
      </c>
      <c r="CL43" s="20">
        <f t="shared" si="14"/>
        <v>2.0933333333333333</v>
      </c>
      <c r="CM43" s="20">
        <f t="shared" si="15"/>
        <v>2.4466666666666668</v>
      </c>
      <c r="CN43" s="2" cm="1">
        <f t="array" aca="1" ref="CN43" ca="1">MAX(_xlfn._xlws.FILTER(CG43:CM43,CG43:CM43&lt;BG43))</f>
        <v>0.78666666666666685</v>
      </c>
      <c r="CO43" s="2" cm="1">
        <f t="array" aca="1" ref="CO43" ca="1">MIN(_xlfn._xlws.FILTER($CG43:$CM43,$CG43:$CM43&gt;BG43))</f>
        <v>1.2633333333333334</v>
      </c>
      <c r="CP43" s="19">
        <f t="shared" ca="1" si="65"/>
        <v>0.60593220338983023</v>
      </c>
      <c r="CQ43" s="23">
        <f t="shared" ca="1" si="66"/>
        <v>-0.30296610169491511</v>
      </c>
      <c r="CR43" s="23">
        <f t="shared" ca="1" si="67"/>
        <v>-0.20197740112994342</v>
      </c>
      <c r="CS43" s="23">
        <f t="shared" ca="1" si="68"/>
        <v>-0.12118644067796605</v>
      </c>
      <c r="CT43" s="23">
        <f t="shared" ca="1" si="69"/>
        <v>-6.7325800376647801E-2</v>
      </c>
      <c r="CU43" s="23">
        <f t="shared" ca="1" si="70"/>
        <v>-3.5643070787637073E-2</v>
      </c>
      <c r="CV43" s="23">
        <f t="shared" ca="1" si="71"/>
        <v>-1.8361581920903945E-2</v>
      </c>
      <c r="CW43" s="23">
        <f t="shared" ca="1" si="72"/>
        <v>-9.32203389830508E-3</v>
      </c>
      <c r="CX43" s="24">
        <f t="shared" ca="1" si="73"/>
        <v>9.32203389830508E-3</v>
      </c>
      <c r="CY43" s="24">
        <f t="shared" ca="1" si="74"/>
        <v>1.8361581920903945E-2</v>
      </c>
      <c r="CZ43" s="24">
        <f t="shared" ca="1" si="75"/>
        <v>3.5643070787637073E-2</v>
      </c>
      <c r="DA43" s="24">
        <f t="shared" ca="1" si="76"/>
        <v>6.7325800376647801E-2</v>
      </c>
      <c r="DB43" s="24">
        <f t="shared" ca="1" si="77"/>
        <v>0.12118644067796605</v>
      </c>
      <c r="DC43" s="24">
        <f t="shared" ca="1" si="78"/>
        <v>0.20197740112994342</v>
      </c>
      <c r="DD43" s="24">
        <f t="shared" ca="1" si="79"/>
        <v>0.30296610169491511</v>
      </c>
      <c r="DF43" s="19" cm="1">
        <f t="array" aca="1" ref="DF43" ca="1">MAX(_xlfn._xlws.FILTER(CQ43:DD43,CQ43:DD43&lt;BJ43))</f>
        <v>-9.32203389830508E-3</v>
      </c>
      <c r="DG43" s="19" cm="1">
        <f t="array" aca="1" ref="DG43" ca="1">MIN(_xlfn._xlws.FILTER(CQ43:DD43,CQ43:DD43&gt;BJ43))</f>
        <v>9.32203389830508E-3</v>
      </c>
      <c r="DH43" s="2" cm="1">
        <f t="array" aca="1" ref="DH43" ca="1">_FV(EE43,"Fechamento anterior",TRUE)</f>
        <v>1.1399999999999999</v>
      </c>
      <c r="DI43" s="36">
        <f t="shared" ca="1" si="22"/>
        <v>2.9505582137162836E-2</v>
      </c>
      <c r="DJ43" s="18">
        <f t="shared" ca="1" si="80"/>
        <v>1.1293728813559321</v>
      </c>
      <c r="DK43" s="18">
        <f t="shared" ca="1" si="81"/>
        <v>1.1506271186440677</v>
      </c>
      <c r="DL43" s="9"/>
      <c r="DM43" s="9"/>
      <c r="DN43" s="9"/>
      <c r="DO43" s="9"/>
      <c r="DP43" s="79">
        <v>4.5584045584045555E-3</v>
      </c>
      <c r="DQ43" s="79">
        <v>4.5584045584045555E-3</v>
      </c>
      <c r="DR43" s="79">
        <v>8.7145969498910614E-3</v>
      </c>
      <c r="DS43" s="79">
        <f t="shared" ca="1" si="25"/>
        <v>1.864406779661016E-2</v>
      </c>
      <c r="DT43" s="47"/>
      <c r="DU43" s="43">
        <f t="shared" si="26"/>
        <v>8.2575722824568792E-2</v>
      </c>
      <c r="DV43" s="83">
        <f t="shared" ca="1" si="27"/>
        <v>2.4905999999999997</v>
      </c>
      <c r="DW43" s="83">
        <f t="shared" ca="1" si="28"/>
        <v>2.9417</v>
      </c>
      <c r="DX43" s="83">
        <f t="shared" ca="1" si="29"/>
        <v>-0.45110000000000028</v>
      </c>
      <c r="DY43" s="67"/>
      <c r="DZ43" s="67"/>
      <c r="EA43" s="85"/>
      <c r="EB43" s="44">
        <v>202700</v>
      </c>
      <c r="EC43" s="44" cm="1">
        <f t="array" aca="1" ref="EC43" ca="1">_FV(EE43,"Volume")</f>
        <v>222200</v>
      </c>
      <c r="EE43" s="2" t="e" vm="43">
        <v>#VALUE!</v>
      </c>
      <c r="EG43" s="10" cm="1">
        <f t="array" aca="1" ref="EG43" ca="1">_FV(EE43,"Ações em circulação",TRUE)</f>
        <v>286676500</v>
      </c>
      <c r="EH43" s="21">
        <f>VLOOKUP(BH43,Fundamentus!A:U,5,FALSE)</f>
        <v>0.15</v>
      </c>
      <c r="EI43" s="2">
        <f t="shared" ca="1" si="30"/>
        <v>2159629633.333333</v>
      </c>
      <c r="EJ43" s="20">
        <v>-85406662.879999995</v>
      </c>
      <c r="EK43" s="20">
        <f t="shared" ca="1" si="31"/>
        <v>-84657481.62666665</v>
      </c>
      <c r="EM43" s="40" t="str">
        <f>IF(VLOOKUP(BH43,Fundamentus!A:U,3,FALSE)&lt;15,"Bom",IF(VLOOKUP(BH43,Fundamentus!A:U,3,FALSE)&gt;15,"Ruim","n/a"))</f>
        <v>Bom</v>
      </c>
      <c r="EN43" s="36" t="str">
        <f>IF(VLOOKUP(BH43,Fundamentus!A:U,4,FALSE)&lt;1,"Baixo",IF(VLOOKUP(BH43,Fundamentus!A:U,4,FALSE)&lt;1.5,"Moderado",IF(VLOOKUP(BH43,Fundamentus!A:U,4,FALSE)&gt;1.5,"Alto","n/a")))</f>
        <v>Baixo</v>
      </c>
      <c r="EO43" s="20" t="str">
        <f>IF(VLOOKUP(BH43,Fundamentus!A:U,8,FALSE)&lt;0,"Risco elevado",IF(VLOOKUP(BH43,Fundamentus!A:U,8,FALSE)&lt;1,"Saudável",IF(VLOOKUP(BH43,Fundamentus!A:U,8,FALSE)&lt;3,"Estável",IF(VLOOKUP(BH43,Fundamentus!A:U,8,FALSE)&gt;3,"Alerta","n/a"))))</f>
        <v>Risco elevado</v>
      </c>
      <c r="EP43" s="36" t="str">
        <f t="shared" si="32"/>
        <v>Ruim</v>
      </c>
      <c r="EQ43" s="20" t="str">
        <f>IF(VLOOKUP(BH43,Fundamentus!A:U,12,FALSE)&lt;2,"Subvalorizada",IF(VLOOKUP(BH43,Fundamentus!A:U,12,FALSE)&lt;6,"Muita barata",IF(VLOOKUP(BH43,Fundamentus!A:U,12,FALSE)&lt;6,"Barata",IF(VLOOKUP(BH43,Fundamentus!A:U,12,FALSE)&lt;8,"Atrativa",IF(VLOOKUP(BH43,Fundamentus!A:U,12,FALSE)&gt;8,"Supervalorizada","n/a")))))</f>
        <v>Muita barata</v>
      </c>
      <c r="ES43" s="20" t="str">
        <f>IF(VLOOKUP(BH43,Fundamentus!A:U,17,FALSE)&lt;0.1,"Fraco retorno",IF(VLOOKUP(BH43,Fundamentus!A:U,17,FALSE)&gt;0.1,"Bom retorno","n/a"))</f>
        <v>Fraco retorno</v>
      </c>
      <c r="ET43" s="20" t="str">
        <f>IF(VLOOKUP(BH43,Fundamentus!A:U,16,FALSE)&lt;0.1,"Ineficiente",IF(VLOOKUP(BH43,Fundamentus!A:U,16,FALSE)&gt;0.1,"Eficiente","n/a"))</f>
        <v>Ineficiente</v>
      </c>
      <c r="EU43" s="41" t="str">
        <f>IF(VLOOKUP(BH43,Fundamentus!A:U,16,FALSE)&lt;0.1,"Oper. Ineficiente",IF(VLOOKUP(BH43,Fundamentus!A:U,16,FALSE)&gt;0.1,"Oper.Eficiente","n/a"))</f>
        <v>Oper. Ineficiente</v>
      </c>
      <c r="EV43" s="42">
        <f>VLOOKUP(BH43,Fundamentus!A:U,14,FALSE)</f>
        <v>-3.9199999999999999E-2</v>
      </c>
      <c r="EW43" s="20" t="str">
        <f>IF(VLOOKUP(BH43,Fundamentus!A:U,21,FALSE)&lt;0,"Negativo",IF(VLOOKUP(BH43,Fundamentus!A:U,21,FALSE)&lt;0.05,"Fraco",IF(VLOOKUP(BH43,Fundamentus!A:U,21,FALSE)&lt;0.1,"Bom",IF(VLOOKUP(BH43,Fundamentus!A:U,21,FALSE)&gt;0.1,"Muito bom","n/a"))))</f>
        <v>Muito bom</v>
      </c>
      <c r="EY43" s="37" t="str">
        <f>IF(VLOOKUP(BH43,Fundamentus!A:U,15,FALSE)&gt;1,"Bom",IF(VLOOKUP(BH43,Fundamentus!A:U,15,FALSE)&lt;1,"Ruim","n/a"))</f>
        <v>Ruim</v>
      </c>
      <c r="EZ43" s="20" t="str">
        <f>IF(VLOOKUP(BH43,Fundamentus!A:U,20,FALSE)&lt;0.5,"Baixa",IF(VLOOKUP(BH43,Fundamentus!A:U,20,FALSE)&lt;1,"Moderada",IF(VLOOKUP(BH43,Fundamentus!A:U,20,FALSE)&lt;2,"Alerta",IF(VLOOKUP(BH43,Fundamentus!A:U,20,FALSE)&gt;2,"Alta","n/a"))))</f>
        <v>Moderada</v>
      </c>
    </row>
    <row r="44" spans="1:156" s="2" customFormat="1" ht="11.25" hidden="1" x14ac:dyDescent="0.2">
      <c r="A44" s="4">
        <v>32.840000000000003</v>
      </c>
      <c r="B44" s="4">
        <v>32.619999999999997</v>
      </c>
      <c r="C44" s="4">
        <v>34.17</v>
      </c>
      <c r="D44" s="4">
        <v>32.69</v>
      </c>
      <c r="E44" s="4">
        <v>32.200000000000003</v>
      </c>
      <c r="F44" s="4">
        <v>32.69</v>
      </c>
      <c r="G44" s="4">
        <v>32.46</v>
      </c>
      <c r="H44" s="4">
        <v>32.9</v>
      </c>
      <c r="I44" s="4">
        <v>32.950000000000003</v>
      </c>
      <c r="J44" s="4">
        <v>33.17</v>
      </c>
      <c r="K44" s="4">
        <v>33.96</v>
      </c>
      <c r="L44" s="4">
        <v>34.1</v>
      </c>
      <c r="M44" s="4">
        <v>34.6</v>
      </c>
      <c r="N44" s="4">
        <v>34.9</v>
      </c>
      <c r="O44" s="4">
        <v>36.159999999999997</v>
      </c>
      <c r="P44" s="4">
        <v>37.33</v>
      </c>
      <c r="Q44" s="4">
        <v>36.99</v>
      </c>
      <c r="R44" s="4">
        <v>36.729999999999997</v>
      </c>
      <c r="S44" s="4">
        <v>36.71</v>
      </c>
      <c r="T44" s="4">
        <v>36.19</v>
      </c>
      <c r="U44" s="4">
        <v>35.01</v>
      </c>
      <c r="V44" s="4">
        <v>35.369999999999997</v>
      </c>
      <c r="W44" s="4">
        <v>35.08</v>
      </c>
      <c r="X44" s="4">
        <v>33.86</v>
      </c>
      <c r="Y44" s="4">
        <v>34.07</v>
      </c>
      <c r="Z44" s="4">
        <v>34.299999999999997</v>
      </c>
      <c r="AA44" s="4">
        <v>34.28</v>
      </c>
      <c r="AB44" s="4">
        <v>34.44</v>
      </c>
      <c r="AC44" s="4">
        <v>33.409999999999997</v>
      </c>
      <c r="AD44" s="4">
        <v>33.950000000000003</v>
      </c>
      <c r="AE44" s="4">
        <v>33.53</v>
      </c>
      <c r="AF44" s="4">
        <v>35.42</v>
      </c>
      <c r="AG44" s="4">
        <v>36.64</v>
      </c>
      <c r="AH44" s="4">
        <v>36.49</v>
      </c>
      <c r="AI44" s="4">
        <v>36.28</v>
      </c>
      <c r="AJ44" s="4">
        <v>35.99</v>
      </c>
      <c r="AK44" s="4">
        <v>36.14</v>
      </c>
      <c r="AL44" s="4">
        <v>37.83</v>
      </c>
      <c r="AM44" s="4">
        <v>37.83</v>
      </c>
      <c r="AN44" s="4">
        <v>38.54</v>
      </c>
      <c r="AO44" s="4">
        <v>39.299999999999997</v>
      </c>
      <c r="AP44" s="4">
        <v>38.880000000000003</v>
      </c>
      <c r="AQ44" s="4">
        <v>37.03</v>
      </c>
      <c r="AR44" s="4">
        <v>37.840000000000003</v>
      </c>
      <c r="AS44" s="4">
        <v>39.020000000000003</v>
      </c>
      <c r="AT44" s="4">
        <v>39.81</v>
      </c>
      <c r="AU44" s="4">
        <v>40.39</v>
      </c>
      <c r="AV44" s="4">
        <v>40.26</v>
      </c>
      <c r="AW44" s="4">
        <v>40.25</v>
      </c>
      <c r="AX44" s="4">
        <v>39.979999999999997</v>
      </c>
      <c r="AY44" s="12">
        <v>40.74</v>
      </c>
      <c r="AZ44" s="12">
        <v>42.05</v>
      </c>
      <c r="BA44" s="12">
        <v>42.77</v>
      </c>
      <c r="BB44" s="18">
        <v>38.19</v>
      </c>
      <c r="BC44" s="63">
        <v>38.51</v>
      </c>
      <c r="BD44" s="63">
        <v>38.1</v>
      </c>
      <c r="BE44" s="63">
        <v>37.51</v>
      </c>
      <c r="BF44" s="63">
        <v>36.44</v>
      </c>
      <c r="BG44" s="91" cm="1">
        <f t="array" aca="1" ref="BG44" ca="1">_FV(EE44,"Preço")</f>
        <v>35.51</v>
      </c>
      <c r="BH44" s="93" t="s">
        <v>42</v>
      </c>
      <c r="BI44" s="32" cm="1">
        <f t="array" aca="1" ref="BI44" ca="1">_FV(EE44,"Beta")</f>
        <v>0.53300000000000003</v>
      </c>
      <c r="BJ44" s="96" cm="1">
        <f t="array" aca="1" ref="BJ44" ca="1">_FV(EE44,"Variação (%)",TRUE)</f>
        <v>6.234E-3</v>
      </c>
      <c r="BK44" s="49"/>
      <c r="BL44" s="49"/>
      <c r="BN44" s="32"/>
      <c r="BO44" s="20" cm="1">
        <f t="array" aca="1" ref="BO44" ca="1">_FV(EE44,"Baixo")</f>
        <v>35.200000000000003</v>
      </c>
      <c r="BP44" s="20" cm="1">
        <f t="array" aca="1" ref="BP44" ca="1">_FV(EE44,"Alto")</f>
        <v>35.58</v>
      </c>
      <c r="BQ44" s="32"/>
      <c r="BR44" s="74">
        <f ca="1">SQRT(22.5*(BG44/VLOOKUP(BH44,Fundamentus!A:U,3,FALSE))*(BG44/VLOOKUP(BH44,Fundamentus!A:U,4,FALSE)))</f>
        <v>23.284036156037498</v>
      </c>
      <c r="BT44" s="73">
        <f t="shared" ca="1" si="0"/>
        <v>-2.5521405049396262E-2</v>
      </c>
      <c r="BU44" s="36">
        <f t="shared" si="1"/>
        <v>0.14220462850182686</v>
      </c>
      <c r="BV44" s="8"/>
      <c r="BW44" s="72">
        <f t="shared" si="2"/>
        <v>32.200000000000003</v>
      </c>
      <c r="BX44" s="72">
        <f t="shared" si="3"/>
        <v>36.239482758620696</v>
      </c>
      <c r="BY44" s="72">
        <f t="shared" si="4"/>
        <v>42.77</v>
      </c>
      <c r="BZ44" s="17"/>
      <c r="CA44" s="17"/>
      <c r="CB44" s="43">
        <f t="shared" si="5"/>
        <v>34.44104654275889</v>
      </c>
      <c r="CC44" s="18">
        <f t="shared" si="6"/>
        <v>35.998416119962712</v>
      </c>
      <c r="CD44" s="43">
        <f t="shared" si="7"/>
        <v>37.555785697166534</v>
      </c>
      <c r="CE44" s="98">
        <f t="shared" ca="1" si="8"/>
        <v>-0.31361606590494767</v>
      </c>
      <c r="CF44" s="17"/>
      <c r="CG44" s="20">
        <f t="shared" si="9"/>
        <v>20.933333333333323</v>
      </c>
      <c r="CH44" s="20">
        <f t="shared" si="10"/>
        <v>26.566666666666663</v>
      </c>
      <c r="CI44" s="20">
        <f t="shared" si="11"/>
        <v>31.503333333333323</v>
      </c>
      <c r="CJ44" s="49">
        <f t="shared" si="12"/>
        <v>37.136666666666663</v>
      </c>
      <c r="CK44" s="20">
        <f t="shared" si="13"/>
        <v>42.073333333333323</v>
      </c>
      <c r="CL44" s="20">
        <f t="shared" si="14"/>
        <v>47.706666666666663</v>
      </c>
      <c r="CM44" s="20">
        <f t="shared" si="15"/>
        <v>52.643333333333324</v>
      </c>
      <c r="CN44" s="2" cm="1">
        <f t="array" aca="1" ref="CN44" ca="1">MAX(_xlfn._xlws.FILTER(CG44:CM44,CG44:CM44&lt;BG44))</f>
        <v>31.503333333333323</v>
      </c>
      <c r="CO44" s="2" cm="1">
        <f t="array" aca="1" ref="CO44" ca="1">MIN(_xlfn._xlws.FILTER($CG44:$CM44,$CG44:$CM44&gt;BG44))</f>
        <v>37.136666666666663</v>
      </c>
      <c r="CP44" s="19">
        <f t="shared" ca="1" si="65"/>
        <v>0.17881705639614887</v>
      </c>
      <c r="CQ44" s="23">
        <f t="shared" ca="1" si="66"/>
        <v>-8.9408528198074433E-2</v>
      </c>
      <c r="CR44" s="23">
        <f t="shared" ca="1" si="67"/>
        <v>-5.9605685465382953E-2</v>
      </c>
      <c r="CS44" s="23">
        <f t="shared" ca="1" si="68"/>
        <v>-3.5763411279229773E-2</v>
      </c>
      <c r="CT44" s="23">
        <f t="shared" ca="1" si="69"/>
        <v>-1.986856182179432E-2</v>
      </c>
      <c r="CU44" s="23">
        <f t="shared" ca="1" si="70"/>
        <v>-1.0518650376244051E-2</v>
      </c>
      <c r="CV44" s="23">
        <f t="shared" ca="1" si="71"/>
        <v>-5.4186986786711779E-3</v>
      </c>
      <c r="CW44" s="23">
        <f t="shared" ca="1" si="72"/>
        <v>-2.7510316368638287E-3</v>
      </c>
      <c r="CX44" s="24">
        <f t="shared" ca="1" si="73"/>
        <v>2.7510316368638287E-3</v>
      </c>
      <c r="CY44" s="24">
        <f t="shared" ca="1" si="74"/>
        <v>5.4186986786711779E-3</v>
      </c>
      <c r="CZ44" s="24">
        <f t="shared" ca="1" si="75"/>
        <v>1.0518650376244051E-2</v>
      </c>
      <c r="DA44" s="24">
        <f t="shared" ca="1" si="76"/>
        <v>1.986856182179432E-2</v>
      </c>
      <c r="DB44" s="24">
        <f t="shared" ca="1" si="77"/>
        <v>3.5763411279229773E-2</v>
      </c>
      <c r="DC44" s="24">
        <f t="shared" ca="1" si="78"/>
        <v>5.9605685465382953E-2</v>
      </c>
      <c r="DD44" s="24">
        <f t="shared" ca="1" si="79"/>
        <v>8.9408528198074433E-2</v>
      </c>
      <c r="DF44" s="19" cm="1">
        <f t="array" aca="1" ref="DF44" ca="1">MAX(_xlfn._xlws.FILTER(CQ44:DD44,CQ44:DD44&lt;BJ44))</f>
        <v>5.4186986786711779E-3</v>
      </c>
      <c r="DG44" s="19" cm="1">
        <f t="array" aca="1" ref="DG44" ca="1">MIN(_xlfn._xlws.FILTER(CQ44:DD44,CQ44:DD44&gt;BJ44))</f>
        <v>1.0518650376244051E-2</v>
      </c>
      <c r="DH44" s="2" cm="1">
        <f t="array" aca="1" ref="DH44" ca="1">_FV(EE44,"Fechamento anterior",TRUE)</f>
        <v>35.29</v>
      </c>
      <c r="DI44" s="36">
        <f t="shared" ca="1" si="22"/>
        <v>0.15987640865793637</v>
      </c>
      <c r="DJ44" s="18">
        <f t="shared" ca="1" si="80"/>
        <v>35.481225876370303</v>
      </c>
      <c r="DK44" s="18">
        <f t="shared" ca="1" si="81"/>
        <v>35.66120317177765</v>
      </c>
      <c r="DL44" s="9"/>
      <c r="DM44" s="9"/>
      <c r="DN44" s="9"/>
      <c r="DO44" s="9"/>
      <c r="DP44" s="79">
        <v>3.1993606986650282E-3</v>
      </c>
      <c r="DQ44" s="79">
        <v>5.4368221023065834E-3</v>
      </c>
      <c r="DR44" s="79">
        <v>2.9655393285308641E-3</v>
      </c>
      <c r="DS44" s="79">
        <f t="shared" ca="1" si="25"/>
        <v>5.0999516975728729E-3</v>
      </c>
      <c r="DT44" s="47"/>
      <c r="DU44" s="43">
        <f t="shared" si="26"/>
        <v>0.77868478860190982</v>
      </c>
      <c r="DV44" s="83">
        <f t="shared" ca="1" si="27"/>
        <v>0.95910000000000006</v>
      </c>
      <c r="DW44" s="83">
        <f t="shared" ca="1" si="28"/>
        <v>-9.0399999999999925E-2</v>
      </c>
      <c r="DX44" s="83">
        <f t="shared" ca="1" si="29"/>
        <v>1.0495000000000001</v>
      </c>
      <c r="DY44" s="67"/>
      <c r="DZ44" s="67"/>
      <c r="EA44" s="85"/>
      <c r="EB44" s="44">
        <v>4363100</v>
      </c>
      <c r="EC44" s="44" cm="1">
        <f t="array" aca="1" ref="EC44" ca="1">_FV(EE44,"Volume")</f>
        <v>4889100</v>
      </c>
      <c r="EE44" s="2" t="e" vm="44">
        <v>#VALUE!</v>
      </c>
      <c r="EG44" s="10" cm="1">
        <f t="array" aca="1" ref="EG44" ca="1">_FV(EE44,"Ações em circulação",TRUE)</f>
        <v>2000000000</v>
      </c>
      <c r="EH44" s="21">
        <f>VLOOKUP(BH44,Fundamentus!A:U,5,FALSE)</f>
        <v>0</v>
      </c>
      <c r="EI44" s="2" t="e">
        <f t="shared" ca="1" si="30"/>
        <v>#DIV/0!</v>
      </c>
      <c r="EJ44" s="20" t="e">
        <v>#DIV/0!</v>
      </c>
      <c r="EK44" s="20" t="e">
        <f t="shared" ca="1" si="31"/>
        <v>#DIV/0!</v>
      </c>
      <c r="EM44" s="40" t="str">
        <f>IF(VLOOKUP(BH44,Fundamentus!A:U,3,FALSE)&lt;15,"Bom",IF(VLOOKUP(BH44,Fundamentus!A:U,3,FALSE)&gt;15,"Ruim","n/a"))</f>
        <v>Bom</v>
      </c>
      <c r="EN44" s="36" t="str">
        <f>IF(VLOOKUP(BH44,Fundamentus!A:U,4,FALSE)&lt;1,"Baixo",IF(VLOOKUP(BH44,Fundamentus!A:U,4,FALSE)&lt;1.5,"Moderado",IF(VLOOKUP(BH44,Fundamentus!A:U,4,FALSE)&gt;1.5,"Alto","n/a")))</f>
        <v>Alto</v>
      </c>
      <c r="EO44" s="20" t="str">
        <f>IF(VLOOKUP(BH44,Fundamentus!A:U,8,FALSE)&lt;0,"Risco elevado",IF(VLOOKUP(BH44,Fundamentus!A:U,8,FALSE)&lt;1,"Saudável",IF(VLOOKUP(BH44,Fundamentus!A:U,8,FALSE)&lt;3,"Estável",IF(VLOOKUP(BH44,Fundamentus!A:U,8,FALSE)&gt;3,"Alerta","n/a"))))</f>
        <v>Saudável</v>
      </c>
      <c r="EP44" s="36" t="str">
        <f t="shared" si="32"/>
        <v>Ruim</v>
      </c>
      <c r="EQ44" s="20" t="str">
        <f>IF(VLOOKUP(BH44,Fundamentus!A:U,12,FALSE)&lt;2,"Subvalorizada",IF(VLOOKUP(BH44,Fundamentus!A:U,12,FALSE)&lt;6,"Muita barata",IF(VLOOKUP(BH44,Fundamentus!A:U,12,FALSE)&lt;6,"Barata",IF(VLOOKUP(BH44,Fundamentus!A:U,12,FALSE)&lt;8,"Atrativa",IF(VLOOKUP(BH44,Fundamentus!A:U,12,FALSE)&gt;8,"Supervalorizada","n/a")))))</f>
        <v>Subvalorizada</v>
      </c>
      <c r="ES44" s="20" t="str">
        <f>IF(VLOOKUP(BH44,Fundamentus!A:U,17,FALSE)&lt;0.1,"Fraco retorno",IF(VLOOKUP(BH44,Fundamentus!A:U,17,FALSE)&gt;0.1,"Bom retorno","n/a"))</f>
        <v>Bom retorno</v>
      </c>
      <c r="ET44" s="20" t="str">
        <f>IF(VLOOKUP(BH44,Fundamentus!A:U,16,FALSE)&lt;0.1,"Ineficiente",IF(VLOOKUP(BH44,Fundamentus!A:U,16,FALSE)&gt;0.1,"Eficiente","n/a"))</f>
        <v>Ineficiente</v>
      </c>
      <c r="EU44" s="41" t="str">
        <f>IF(VLOOKUP(BH44,Fundamentus!A:U,16,FALSE)&lt;0.1,"Oper. Ineficiente",IF(VLOOKUP(BH44,Fundamentus!A:U,16,FALSE)&gt;0.1,"Oper.Eficiente","n/a"))</f>
        <v>Oper. Ineficiente</v>
      </c>
      <c r="EV44" s="42">
        <f>VLOOKUP(BH44,Fundamentus!A:U,14,FALSE)</f>
        <v>0</v>
      </c>
      <c r="EW44" s="20" t="str">
        <f>IF(VLOOKUP(BH44,Fundamentus!A:U,21,FALSE)&lt;0,"Negativo",IF(VLOOKUP(BH44,Fundamentus!A:U,21,FALSE)&lt;0.05,"Fraco",IF(VLOOKUP(BH44,Fundamentus!A:U,21,FALSE)&lt;0.1,"Bom",IF(VLOOKUP(BH44,Fundamentus!A:U,21,FALSE)&gt;0.1,"Muito bom","n/a"))))</f>
        <v>Fraco</v>
      </c>
      <c r="EY44" s="37" t="str">
        <f>IF(VLOOKUP(BH44,Fundamentus!A:U,15,FALSE)&gt;1,"Bom",IF(VLOOKUP(BH44,Fundamentus!A:U,15,FALSE)&lt;1,"Ruim","n/a"))</f>
        <v>Ruim</v>
      </c>
      <c r="EZ44" s="20" t="str">
        <f>IF(VLOOKUP(BH44,Fundamentus!A:U,20,FALSE)&lt;0.5,"Baixa",IF(VLOOKUP(BH44,Fundamentus!A:U,20,FALSE)&lt;1,"Moderada",IF(VLOOKUP(BH44,Fundamentus!A:U,20,FALSE)&lt;2,"Alerta",IF(VLOOKUP(BH44,Fundamentus!A:U,20,FALSE)&gt;2,"Alta","n/a"))))</f>
        <v>Baixa</v>
      </c>
    </row>
    <row r="45" spans="1:156" s="2" customFormat="1" ht="11.25" hidden="1" x14ac:dyDescent="0.2">
      <c r="A45" s="4">
        <v>11.34</v>
      </c>
      <c r="B45" s="4">
        <v>11.25</v>
      </c>
      <c r="C45" s="4">
        <v>11.46</v>
      </c>
      <c r="D45" s="4">
        <v>10.96</v>
      </c>
      <c r="E45" s="4">
        <v>10.85</v>
      </c>
      <c r="F45" s="4">
        <v>10.26</v>
      </c>
      <c r="G45" s="4">
        <v>10.199999999999999</v>
      </c>
      <c r="H45" s="4">
        <v>10.43</v>
      </c>
      <c r="I45" s="4">
        <v>10.7</v>
      </c>
      <c r="J45" s="4">
        <v>10.8</v>
      </c>
      <c r="K45" s="4">
        <v>10.85</v>
      </c>
      <c r="L45" s="4">
        <v>11.11</v>
      </c>
      <c r="M45" s="4">
        <v>10.71</v>
      </c>
      <c r="N45" s="4">
        <v>10.41</v>
      </c>
      <c r="O45" s="4">
        <v>10.33</v>
      </c>
      <c r="P45" s="4">
        <v>10.33</v>
      </c>
      <c r="Q45" s="4">
        <v>10.72</v>
      </c>
      <c r="R45" s="4">
        <v>10.55</v>
      </c>
      <c r="S45" s="4">
        <v>10.73</v>
      </c>
      <c r="T45" s="4">
        <v>10.88</v>
      </c>
      <c r="U45" s="4">
        <v>10.69</v>
      </c>
      <c r="V45" s="4">
        <v>10.76</v>
      </c>
      <c r="W45" s="4">
        <v>10.48</v>
      </c>
      <c r="X45" s="4">
        <v>10.28</v>
      </c>
      <c r="Y45" s="4">
        <v>10.11</v>
      </c>
      <c r="Z45" s="4">
        <v>10.06</v>
      </c>
      <c r="AA45" s="4">
        <v>10.01</v>
      </c>
      <c r="AB45" s="4">
        <v>10.95</v>
      </c>
      <c r="AC45" s="4">
        <v>10.51</v>
      </c>
      <c r="AD45" s="4">
        <v>10.96</v>
      </c>
      <c r="AE45" s="4">
        <v>11.38</v>
      </c>
      <c r="AF45" s="4">
        <v>11.45</v>
      </c>
      <c r="AG45" s="4">
        <v>11.29</v>
      </c>
      <c r="AH45" s="4">
        <v>10.62</v>
      </c>
      <c r="AI45" s="4">
        <v>10.4</v>
      </c>
      <c r="AJ45" s="4">
        <v>9.94</v>
      </c>
      <c r="AK45" s="4">
        <v>9.6</v>
      </c>
      <c r="AL45" s="4">
        <v>9.77</v>
      </c>
      <c r="AM45" s="4">
        <v>9.8699999999999992</v>
      </c>
      <c r="AN45" s="4">
        <v>9.7899999999999991</v>
      </c>
      <c r="AO45" s="4">
        <v>9.64</v>
      </c>
      <c r="AP45" s="4">
        <v>9.6999999999999993</v>
      </c>
      <c r="AQ45" s="4">
        <v>9.18</v>
      </c>
      <c r="AR45" s="4">
        <v>9.33</v>
      </c>
      <c r="AS45" s="4">
        <v>9.4</v>
      </c>
      <c r="AT45" s="4">
        <v>9.61</v>
      </c>
      <c r="AU45" s="4">
        <v>9.5749999999999993</v>
      </c>
      <c r="AV45" s="4">
        <v>9.5</v>
      </c>
      <c r="AW45" s="4">
        <v>8.61</v>
      </c>
      <c r="AX45" s="4">
        <v>8.5</v>
      </c>
      <c r="AY45" s="12">
        <v>8.6199999999999992</v>
      </c>
      <c r="AZ45" s="12">
        <v>8.67</v>
      </c>
      <c r="BA45" s="12">
        <v>8.67</v>
      </c>
      <c r="BB45" s="18">
        <v>8.6</v>
      </c>
      <c r="BC45" s="63">
        <v>8.81</v>
      </c>
      <c r="BD45" s="63">
        <v>8.7200000000000006</v>
      </c>
      <c r="BE45" s="63">
        <v>8.57</v>
      </c>
      <c r="BF45" s="63">
        <v>9.25</v>
      </c>
      <c r="BG45" s="91" cm="1">
        <f t="array" aca="1" ref="BG45" ca="1">_FV(EE45,"Preço")</f>
        <v>9.2200000000000006</v>
      </c>
      <c r="BH45" s="93" t="s">
        <v>43</v>
      </c>
      <c r="BI45" s="32" cm="1">
        <f t="array" aca="1" ref="BI45" ca="1">_FV(EE45,"Beta")</f>
        <v>0.69589999999999996</v>
      </c>
      <c r="BJ45" s="96" cm="1">
        <f t="array" aca="1" ref="BJ45" ca="1">_FV(EE45,"Variação (%)",TRUE)</f>
        <v>5.4530000000000004E-3</v>
      </c>
      <c r="BK45" s="49"/>
      <c r="BL45" s="49"/>
      <c r="BN45" s="32"/>
      <c r="BO45" s="20" cm="1">
        <f t="array" aca="1" ref="BO45" ca="1">_FV(EE45,"Baixo")</f>
        <v>9.19</v>
      </c>
      <c r="BP45" s="20" cm="1">
        <f t="array" aca="1" ref="BP45" ca="1">_FV(EE45,"Alto")</f>
        <v>9.34</v>
      </c>
      <c r="BQ45" s="32"/>
      <c r="BR45" s="74">
        <f ca="1">SQRT(22.5*(BG45/VLOOKUP(BH45,Fundamentus!A:U,3,FALSE))*(BG45/VLOOKUP(BH45,Fundamentus!A:U,4,FALSE)))</f>
        <v>22.670912641579957</v>
      </c>
      <c r="BT45" s="73">
        <f t="shared" ca="1" si="0"/>
        <v>-3.2432432432431741E-3</v>
      </c>
      <c r="BU45" s="36">
        <f t="shared" si="1"/>
        <v>-0.24426807760141089</v>
      </c>
      <c r="BV45" s="8"/>
      <c r="BW45" s="72">
        <f t="shared" si="2"/>
        <v>8.5</v>
      </c>
      <c r="BX45" s="72">
        <f t="shared" si="3"/>
        <v>10.116293103448275</v>
      </c>
      <c r="BY45" s="72">
        <f t="shared" si="4"/>
        <v>11.46</v>
      </c>
      <c r="BZ45" s="17"/>
      <c r="CA45" s="17"/>
      <c r="CB45" s="43">
        <f t="shared" si="5"/>
        <v>8.6055820708976078</v>
      </c>
      <c r="CC45" s="18">
        <f t="shared" si="6"/>
        <v>9.1118181818181938</v>
      </c>
      <c r="CD45" s="43">
        <f t="shared" si="7"/>
        <v>9.6180542927387798</v>
      </c>
      <c r="CE45" s="98">
        <f t="shared" ca="1" si="8"/>
        <v>0.21369834321988437</v>
      </c>
      <c r="CF45" s="17"/>
      <c r="CG45" s="20">
        <f t="shared" si="9"/>
        <v>5.053333333333331</v>
      </c>
      <c r="CH45" s="20">
        <f t="shared" si="10"/>
        <v>6.7766666666666655</v>
      </c>
      <c r="CI45" s="20">
        <f t="shared" si="11"/>
        <v>8.0133333333333319</v>
      </c>
      <c r="CJ45" s="49">
        <f t="shared" si="12"/>
        <v>9.7366666666666664</v>
      </c>
      <c r="CK45" s="20">
        <f t="shared" si="13"/>
        <v>10.973333333333333</v>
      </c>
      <c r="CL45" s="20">
        <f t="shared" si="14"/>
        <v>12.696666666666667</v>
      </c>
      <c r="CM45" s="20">
        <f t="shared" si="15"/>
        <v>13.933333333333334</v>
      </c>
      <c r="CN45" s="2" cm="1">
        <f t="array" aca="1" ref="CN45" ca="1">MAX(_xlfn._xlws.FILTER(CG45:CM45,CG45:CM45&lt;BG45))</f>
        <v>8.0133333333333319</v>
      </c>
      <c r="CO45" s="2" cm="1">
        <f t="array" aca="1" ref="CO45" ca="1">MIN(_xlfn._xlws.FILTER($CG45:$CM45,$CG45:$CM45&gt;BG45))</f>
        <v>9.7366666666666664</v>
      </c>
      <c r="CP45" s="19">
        <f t="shared" ca="1" si="65"/>
        <v>0.21505823627287879</v>
      </c>
      <c r="CQ45" s="23">
        <f t="shared" ca="1" si="66"/>
        <v>-0.10752911813643939</v>
      </c>
      <c r="CR45" s="23">
        <f t="shared" ca="1" si="67"/>
        <v>-7.1686078757626268E-2</v>
      </c>
      <c r="CS45" s="23">
        <f t="shared" ca="1" si="68"/>
        <v>-4.3011647254575756E-2</v>
      </c>
      <c r="CT45" s="23">
        <f t="shared" ca="1" si="69"/>
        <v>-2.3895359585875423E-2</v>
      </c>
      <c r="CU45" s="23">
        <f t="shared" ca="1" si="70"/>
        <v>-1.2650484486639928E-2</v>
      </c>
      <c r="CV45" s="23">
        <f t="shared" ca="1" si="71"/>
        <v>-6.5169162506932971E-3</v>
      </c>
      <c r="CW45" s="23">
        <f t="shared" ca="1" si="72"/>
        <v>-3.3085882503519812E-3</v>
      </c>
      <c r="CX45" s="24">
        <f t="shared" ca="1" si="73"/>
        <v>3.3085882503519812E-3</v>
      </c>
      <c r="CY45" s="24">
        <f t="shared" ca="1" si="74"/>
        <v>6.5169162506932971E-3</v>
      </c>
      <c r="CZ45" s="24">
        <f t="shared" ca="1" si="75"/>
        <v>1.2650484486639928E-2</v>
      </c>
      <c r="DA45" s="24">
        <f t="shared" ca="1" si="76"/>
        <v>2.3895359585875423E-2</v>
      </c>
      <c r="DB45" s="24">
        <f t="shared" ca="1" si="77"/>
        <v>4.3011647254575756E-2</v>
      </c>
      <c r="DC45" s="24">
        <f t="shared" ca="1" si="78"/>
        <v>7.1686078757626268E-2</v>
      </c>
      <c r="DD45" s="24">
        <f t="shared" ca="1" si="79"/>
        <v>0.10752911813643939</v>
      </c>
      <c r="DF45" s="19" cm="1">
        <f t="array" aca="1" ref="DF45" ca="1">MAX(_xlfn._xlws.FILTER(CQ45:DD45,CQ45:DD45&lt;BJ45))</f>
        <v>3.3085882503519812E-3</v>
      </c>
      <c r="DG45" s="19" cm="1">
        <f t="array" aca="1" ref="DG45" ca="1">MIN(_xlfn._xlws.FILTER(CQ45:DD45,CQ45:DD45&gt;BJ45))</f>
        <v>6.5169162506932971E-3</v>
      </c>
      <c r="DH45" s="2" cm="1">
        <f t="array" aca="1" ref="DH45" ca="1">_FV(EE45,"Fechamento anterior",TRUE)</f>
        <v>9.17</v>
      </c>
      <c r="DI45" s="36">
        <f t="shared" ca="1" si="22"/>
        <v>0.66825288869812527</v>
      </c>
      <c r="DJ45" s="18">
        <f t="shared" ca="1" si="80"/>
        <v>9.2003397542557277</v>
      </c>
      <c r="DK45" s="18">
        <f t="shared" ca="1" si="81"/>
        <v>9.2297601220188579</v>
      </c>
      <c r="DL45" s="9"/>
      <c r="DM45" s="9"/>
      <c r="DN45" s="9"/>
      <c r="DO45" s="9"/>
      <c r="DP45" s="79">
        <v>3.8593580074400783E-3</v>
      </c>
      <c r="DQ45" s="79">
        <v>1.3526671447645371E-2</v>
      </c>
      <c r="DR45" s="79">
        <v>1.3526671447645371E-2</v>
      </c>
      <c r="DS45" s="79">
        <f t="shared" ca="1" si="25"/>
        <v>3.2083280003413158E-3</v>
      </c>
      <c r="DT45" s="47"/>
      <c r="DU45" s="43">
        <f t="shared" si="26"/>
        <v>0.25311805546029292</v>
      </c>
      <c r="DV45" s="83">
        <f t="shared" ca="1" si="27"/>
        <v>1.1219999999999999</v>
      </c>
      <c r="DW45" s="83">
        <f t="shared" ca="1" si="28"/>
        <v>0.15059999999999996</v>
      </c>
      <c r="DX45" s="83">
        <f t="shared" ca="1" si="29"/>
        <v>0.97139999999999993</v>
      </c>
      <c r="DY45" s="67"/>
      <c r="DZ45" s="67"/>
      <c r="EA45" s="85"/>
      <c r="EB45" s="44">
        <v>20700</v>
      </c>
      <c r="EC45" s="44" cm="1">
        <f t="array" aca="1" ref="EC45" ca="1">_FV(EE45,"Volume")</f>
        <v>10100</v>
      </c>
      <c r="EE45" s="2" t="e" vm="45">
        <v>#VALUE!</v>
      </c>
      <c r="EG45" s="10" cm="1">
        <f t="array" aca="1" ref="EG45" ca="1">_FV(EE45,"Ações em circulação",TRUE)</f>
        <v>993705800</v>
      </c>
      <c r="EH45" s="21">
        <f>VLOOKUP(BH45,Fundamentus!A:U,5,FALSE)</f>
        <v>0.13200000000000001</v>
      </c>
      <c r="EI45" s="2">
        <f t="shared" ca="1" si="30"/>
        <v>69408844515.151505</v>
      </c>
      <c r="EJ45" s="20">
        <v>3384245775.681818</v>
      </c>
      <c r="EK45" s="20">
        <f t="shared" ca="1" si="31"/>
        <v>3373269843.4363627</v>
      </c>
      <c r="EM45" s="40" t="str">
        <f>IF(VLOOKUP(BH45,Fundamentus!A:U,3,FALSE)&lt;15,"Bom",IF(VLOOKUP(BH45,Fundamentus!A:U,3,FALSE)&gt;15,"Ruim","n/a"))</f>
        <v>Bom</v>
      </c>
      <c r="EN45" s="36" t="str">
        <f>IF(VLOOKUP(BH45,Fundamentus!A:U,4,FALSE)&lt;1,"Baixo",IF(VLOOKUP(BH45,Fundamentus!A:U,4,FALSE)&lt;1.5,"Moderado",IF(VLOOKUP(BH45,Fundamentus!A:U,4,FALSE)&gt;1.5,"Alto","n/a")))</f>
        <v>Baixo</v>
      </c>
      <c r="EO45" s="20" t="str">
        <f>IF(VLOOKUP(BH45,Fundamentus!A:U,8,FALSE)&lt;0,"Risco elevado",IF(VLOOKUP(BH45,Fundamentus!A:U,8,FALSE)&lt;1,"Saudável",IF(VLOOKUP(BH45,Fundamentus!A:U,8,FALSE)&lt;3,"Estável",IF(VLOOKUP(BH45,Fundamentus!A:U,8,FALSE)&gt;3,"Alerta","n/a"))))</f>
        <v>Saudável</v>
      </c>
      <c r="EP45" s="36" t="str">
        <f t="shared" si="32"/>
        <v>Ruim</v>
      </c>
      <c r="EQ45" s="20" t="str">
        <f>IF(VLOOKUP(BH45,Fundamentus!A:U,12,FALSE)&lt;2,"Subvalorizada",IF(VLOOKUP(BH45,Fundamentus!A:U,12,FALSE)&lt;6,"Muita barata",IF(VLOOKUP(BH45,Fundamentus!A:U,12,FALSE)&lt;6,"Barata",IF(VLOOKUP(BH45,Fundamentus!A:U,12,FALSE)&lt;8,"Atrativa",IF(VLOOKUP(BH45,Fundamentus!A:U,12,FALSE)&gt;8,"Supervalorizada","n/a")))))</f>
        <v>Subvalorizada</v>
      </c>
      <c r="ES45" s="20" t="str">
        <f>IF(VLOOKUP(BH45,Fundamentus!A:U,17,FALSE)&lt;0.1,"Fraco retorno",IF(VLOOKUP(BH45,Fundamentus!A:U,17,FALSE)&gt;0.1,"Bom retorno","n/a"))</f>
        <v>Fraco retorno</v>
      </c>
      <c r="ET45" s="20" t="str">
        <f>IF(VLOOKUP(BH45,Fundamentus!A:U,16,FALSE)&lt;0.1,"Ineficiente",IF(VLOOKUP(BH45,Fundamentus!A:U,16,FALSE)&gt;0.1,"Eficiente","n/a"))</f>
        <v>Ineficiente</v>
      </c>
      <c r="EU45" s="41" t="str">
        <f>IF(VLOOKUP(BH45,Fundamentus!A:U,16,FALSE)&lt;0.1,"Oper. Ineficiente",IF(VLOOKUP(BH45,Fundamentus!A:U,16,FALSE)&gt;0.1,"Oper.Eficiente","n/a"))</f>
        <v>Oper. Ineficiente</v>
      </c>
      <c r="EV45" s="42">
        <f>VLOOKUP(BH45,Fundamentus!A:U,14,FALSE)</f>
        <v>4.8599999999999997E-2</v>
      </c>
      <c r="EW45" s="20" t="str">
        <f>IF(VLOOKUP(BH45,Fundamentus!A:U,21,FALSE)&lt;0,"Negativo",IF(VLOOKUP(BH45,Fundamentus!A:U,21,FALSE)&lt;0.05,"Fraco",IF(VLOOKUP(BH45,Fundamentus!A:U,21,FALSE)&lt;0.1,"Bom",IF(VLOOKUP(BH45,Fundamentus!A:U,21,FALSE)&gt;0.1,"Muito bom","n/a"))))</f>
        <v>Fraco</v>
      </c>
      <c r="EY45" s="37" t="str">
        <f>IF(VLOOKUP(BH45,Fundamentus!A:U,15,FALSE)&gt;1,"Bom",IF(VLOOKUP(BH45,Fundamentus!A:U,15,FALSE)&lt;1,"Ruim","n/a"))</f>
        <v>Bom</v>
      </c>
      <c r="EZ45" s="20" t="str">
        <f>IF(VLOOKUP(BH45,Fundamentus!A:U,20,FALSE)&lt;0.5,"Baixa",IF(VLOOKUP(BH45,Fundamentus!A:U,20,FALSE)&lt;1,"Moderada",IF(VLOOKUP(BH45,Fundamentus!A:U,20,FALSE)&lt;2,"Alerta",IF(VLOOKUP(BH45,Fundamentus!A:U,20,FALSE)&gt;2,"Alta","n/a"))))</f>
        <v>Moderada</v>
      </c>
    </row>
    <row r="46" spans="1:156" s="5" customFormat="1" ht="11.25" hidden="1" x14ac:dyDescent="0.2">
      <c r="A46" s="4">
        <v>32.200000000000003</v>
      </c>
      <c r="B46" s="4">
        <v>32.28</v>
      </c>
      <c r="C46" s="4">
        <v>33.229999999999997</v>
      </c>
      <c r="D46" s="4">
        <v>31.56</v>
      </c>
      <c r="E46" s="4">
        <v>31</v>
      </c>
      <c r="F46" s="4">
        <v>31.45</v>
      </c>
      <c r="G46" s="4">
        <v>31.14</v>
      </c>
      <c r="H46" s="4">
        <v>31.88</v>
      </c>
      <c r="I46" s="4">
        <v>32.270000000000003</v>
      </c>
      <c r="J46" s="4">
        <v>32.93</v>
      </c>
      <c r="K46" s="4">
        <v>33.46</v>
      </c>
      <c r="L46" s="4">
        <v>34.26</v>
      </c>
      <c r="M46" s="4">
        <v>34.24</v>
      </c>
      <c r="N46" s="4">
        <v>32.950000000000003</v>
      </c>
      <c r="O46" s="4">
        <v>34.56</v>
      </c>
      <c r="P46" s="4">
        <v>36.89</v>
      </c>
      <c r="Q46" s="4">
        <v>36.46</v>
      </c>
      <c r="R46" s="4">
        <v>36.700000000000003</v>
      </c>
      <c r="S46" s="4">
        <v>36.950000000000003</v>
      </c>
      <c r="T46" s="4">
        <v>37.01</v>
      </c>
      <c r="U46" s="4">
        <v>35.93</v>
      </c>
      <c r="V46" s="4">
        <v>36.76</v>
      </c>
      <c r="W46" s="4">
        <v>34.909999999999997</v>
      </c>
      <c r="X46" s="4">
        <v>34.630000000000003</v>
      </c>
      <c r="Y46" s="4">
        <v>35.1</v>
      </c>
      <c r="Z46" s="4">
        <v>35.299999999999997</v>
      </c>
      <c r="AA46" s="4">
        <v>34.81</v>
      </c>
      <c r="AB46" s="4">
        <v>35.090000000000003</v>
      </c>
      <c r="AC46" s="4">
        <v>34.42</v>
      </c>
      <c r="AD46" s="4">
        <v>34.11</v>
      </c>
      <c r="AE46" s="4">
        <v>32.6</v>
      </c>
      <c r="AF46" s="4">
        <v>32.700000000000003</v>
      </c>
      <c r="AG46" s="4">
        <v>32.06</v>
      </c>
      <c r="AH46" s="4">
        <v>30.89</v>
      </c>
      <c r="AI46" s="4">
        <v>30.78</v>
      </c>
      <c r="AJ46" s="4">
        <v>29.82</v>
      </c>
      <c r="AK46" s="4">
        <v>30.64</v>
      </c>
      <c r="AL46" s="4">
        <v>32.35</v>
      </c>
      <c r="AM46" s="4">
        <v>32.46</v>
      </c>
      <c r="AN46" s="4">
        <v>33.81</v>
      </c>
      <c r="AO46" s="4">
        <v>33.92</v>
      </c>
      <c r="AP46" s="4">
        <v>34.770000000000003</v>
      </c>
      <c r="AQ46" s="4">
        <v>32.700000000000003</v>
      </c>
      <c r="AR46" s="4">
        <v>31.94</v>
      </c>
      <c r="AS46" s="4">
        <v>32.6</v>
      </c>
      <c r="AT46" s="4">
        <v>34.31</v>
      </c>
      <c r="AU46" s="4">
        <v>32.14</v>
      </c>
      <c r="AV46" s="4">
        <v>31.69</v>
      </c>
      <c r="AW46" s="4">
        <v>31.14</v>
      </c>
      <c r="AX46" s="4">
        <v>31.81</v>
      </c>
      <c r="AY46" s="12">
        <v>32.75</v>
      </c>
      <c r="AZ46" s="12">
        <v>34.619999999999997</v>
      </c>
      <c r="BA46" s="12">
        <v>35.58</v>
      </c>
      <c r="BB46" s="18">
        <v>35.32</v>
      </c>
      <c r="BC46" s="63">
        <v>37.68</v>
      </c>
      <c r="BD46" s="63">
        <v>37.72</v>
      </c>
      <c r="BE46" s="63">
        <v>37.43</v>
      </c>
      <c r="BF46" s="63">
        <v>36.58</v>
      </c>
      <c r="BG46" s="91" cm="1">
        <f t="array" aca="1" ref="BG46" ca="1">_FV(EE46,"Preço")</f>
        <v>36.17</v>
      </c>
      <c r="BH46" s="93" t="s">
        <v>44</v>
      </c>
      <c r="BI46" s="32" cm="1">
        <f t="array" aca="1" ref="BI46" ca="1">_FV(EE46,"Beta")</f>
        <v>1.2437</v>
      </c>
      <c r="BJ46" s="96" cm="1">
        <f t="array" aca="1" ref="BJ46" ca="1">_FV(EE46,"Variação (%)",TRUE)</f>
        <v>-1.2019E-2</v>
      </c>
      <c r="BK46" s="49"/>
      <c r="BL46" s="49"/>
      <c r="BN46" s="32"/>
      <c r="BO46" s="20" cm="1">
        <f t="array" aca="1" ref="BO46" ca="1">_FV(EE46,"Baixo")</f>
        <v>35.909999999999997</v>
      </c>
      <c r="BP46" s="20" cm="1">
        <f t="array" aca="1" ref="BP46" ca="1">_FV(EE46,"Alto")</f>
        <v>36.35</v>
      </c>
      <c r="BQ46" s="32"/>
      <c r="BR46" s="74">
        <f ca="1">SQRT(22.5*(BG46/VLOOKUP(BH46,Fundamentus!A:U,3,FALSE))*(BG46/VLOOKUP(BH46,Fundamentus!A:U,4,FALSE)))</f>
        <v>38.098598920339512</v>
      </c>
      <c r="BT46" s="73">
        <f t="shared" ca="1" si="0"/>
        <v>-1.1208310552214232E-2</v>
      </c>
      <c r="BU46" s="36">
        <f t="shared" si="1"/>
        <v>0.16242236024844708</v>
      </c>
      <c r="BV46" s="8"/>
      <c r="BW46" s="72">
        <f t="shared" si="2"/>
        <v>29.82</v>
      </c>
      <c r="BX46" s="72">
        <f t="shared" si="3"/>
        <v>33.746379310344821</v>
      </c>
      <c r="BY46" s="72">
        <f t="shared" si="4"/>
        <v>37.72</v>
      </c>
      <c r="BZ46" s="17"/>
      <c r="CA46" s="17"/>
      <c r="CB46" s="43">
        <f t="shared" si="5"/>
        <v>35.575331449784677</v>
      </c>
      <c r="CC46" s="18">
        <f t="shared" si="6"/>
        <v>36.494611059044018</v>
      </c>
      <c r="CD46" s="43">
        <f t="shared" si="7"/>
        <v>37.41389066830336</v>
      </c>
      <c r="CE46" s="98">
        <f t="shared" ca="1" si="8"/>
        <v>-0.35311460819364221</v>
      </c>
      <c r="CF46" s="17"/>
      <c r="CG46" s="20">
        <f t="shared" si="9"/>
        <v>23.793333333333329</v>
      </c>
      <c r="CH46" s="20">
        <f t="shared" si="10"/>
        <v>26.806666666666665</v>
      </c>
      <c r="CI46" s="20">
        <f t="shared" si="11"/>
        <v>31.693333333333328</v>
      </c>
      <c r="CJ46" s="49">
        <f t="shared" si="12"/>
        <v>34.706666666666663</v>
      </c>
      <c r="CK46" s="20">
        <f t="shared" si="13"/>
        <v>39.593333333333327</v>
      </c>
      <c r="CL46" s="20">
        <f t="shared" si="14"/>
        <v>42.606666666666662</v>
      </c>
      <c r="CM46" s="20">
        <f t="shared" si="15"/>
        <v>47.493333333333325</v>
      </c>
      <c r="CN46" s="2" cm="1">
        <f t="array" aca="1" ref="CN46" ca="1">MAX(_xlfn._xlws.FILTER(CG46:CM46,CG46:CM46&lt;BG46))</f>
        <v>34.706666666666663</v>
      </c>
      <c r="CO46" s="2" cm="1">
        <f t="array" aca="1" ref="CO46" ca="1">MIN(_xlfn._xlws.FILTER($CG46:$CM46,$CG46:$CM46&gt;BG46))</f>
        <v>39.593333333333327</v>
      </c>
      <c r="CP46" s="19">
        <f t="shared" ca="1" si="65"/>
        <v>0.14079907798693814</v>
      </c>
      <c r="CQ46" s="23">
        <f t="shared" ca="1" si="66"/>
        <v>-7.0399538993469069E-2</v>
      </c>
      <c r="CR46" s="23">
        <f t="shared" ca="1" si="67"/>
        <v>-4.6933025995646048E-2</v>
      </c>
      <c r="CS46" s="23">
        <f t="shared" ca="1" si="68"/>
        <v>-2.8159815597387627E-2</v>
      </c>
      <c r="CT46" s="23">
        <f t="shared" ca="1" si="69"/>
        <v>-1.564434199854868E-2</v>
      </c>
      <c r="CU46" s="23">
        <f t="shared" ca="1" si="70"/>
        <v>-8.2822987051140076E-3</v>
      </c>
      <c r="CV46" s="23">
        <f t="shared" ca="1" si="71"/>
        <v>-4.2666387268769134E-3</v>
      </c>
      <c r="CW46" s="23">
        <f t="shared" ca="1" si="72"/>
        <v>-2.16613966133751E-3</v>
      </c>
      <c r="CX46" s="24">
        <f t="shared" ca="1" si="73"/>
        <v>2.16613966133751E-3</v>
      </c>
      <c r="CY46" s="24">
        <f t="shared" ca="1" si="74"/>
        <v>4.2666387268769134E-3</v>
      </c>
      <c r="CZ46" s="24">
        <f t="shared" ca="1" si="75"/>
        <v>8.2822987051140076E-3</v>
      </c>
      <c r="DA46" s="24">
        <f t="shared" ca="1" si="76"/>
        <v>1.564434199854868E-2</v>
      </c>
      <c r="DB46" s="24">
        <f t="shared" ca="1" si="77"/>
        <v>2.8159815597387627E-2</v>
      </c>
      <c r="DC46" s="24">
        <f t="shared" ca="1" si="78"/>
        <v>4.6933025995646048E-2</v>
      </c>
      <c r="DD46" s="24">
        <f t="shared" ca="1" si="79"/>
        <v>7.0399538993469069E-2</v>
      </c>
      <c r="DF46" s="19" cm="1">
        <f t="array" aca="1" ref="DF46" ca="1">MAX(_xlfn._xlws.FILTER(CQ46:DD46,CQ46:DD46&lt;BJ46))</f>
        <v>-1.564434199854868E-2</v>
      </c>
      <c r="DG46" s="19" cm="1">
        <f t="array" aca="1" ref="DG46" ca="1">MIN(_xlfn._xlws.FILTER(CQ46:DD46,CQ46:DD46&gt;BJ46))</f>
        <v>-8.2822987051140076E-3</v>
      </c>
      <c r="DH46" s="2" cm="1">
        <f t="array" aca="1" ref="DH46" ca="1">_FV(EE46,"Fechamento anterior",TRUE)</f>
        <v>36.61</v>
      </c>
      <c r="DI46" s="36">
        <f t="shared" ca="1" si="22"/>
        <v>0.49249477271024655</v>
      </c>
      <c r="DJ46" s="18">
        <f t="shared" ca="1" si="80"/>
        <v>36.037260639433136</v>
      </c>
      <c r="DK46" s="18">
        <f t="shared" ca="1" si="81"/>
        <v>36.306785044405778</v>
      </c>
      <c r="DL46" s="9"/>
      <c r="DM46" s="9"/>
      <c r="DN46" s="9"/>
      <c r="DO46" s="9"/>
      <c r="DP46" s="79">
        <v>6.3445182815106537E-3</v>
      </c>
      <c r="DQ46" s="79">
        <v>3.7531637604351692E-3</v>
      </c>
      <c r="DR46" s="79">
        <v>1.537610841801736E-3</v>
      </c>
      <c r="DS46" s="79">
        <f t="shared" ca="1" si="25"/>
        <v>7.3620432934346728E-3</v>
      </c>
      <c r="DT46" s="47"/>
      <c r="DU46" s="43">
        <f t="shared" si="26"/>
        <v>0.45963980462966914</v>
      </c>
      <c r="DV46" s="83">
        <f t="shared" ca="1" si="27"/>
        <v>1.6698</v>
      </c>
      <c r="DW46" s="83">
        <f t="shared" ca="1" si="28"/>
        <v>2.4455999999999998</v>
      </c>
      <c r="DX46" s="83">
        <f t="shared" ca="1" si="29"/>
        <v>-0.77579999999999982</v>
      </c>
      <c r="DY46" s="67"/>
      <c r="DZ46" s="67"/>
      <c r="EA46" s="85"/>
      <c r="EB46" s="44">
        <v>18163700</v>
      </c>
      <c r="EC46" s="44" cm="1">
        <f t="array" aca="1" ref="EC46" ca="1">_FV(EE46,"Volume")</f>
        <v>14372500</v>
      </c>
      <c r="EE46" s="5" t="e" vm="46">
        <v>#VALUE!</v>
      </c>
      <c r="EG46" s="10" cm="1">
        <f t="array" aca="1" ref="EG46" ca="1">_FV(EE46,"Ações em circulação",TRUE)</f>
        <v>10784550000</v>
      </c>
      <c r="EH46" s="21">
        <f>VLOOKUP(BH46,Fundamentus!A:U,5,FALSE)</f>
        <v>0</v>
      </c>
      <c r="EI46" s="2" t="e">
        <f t="shared" ca="1" si="30"/>
        <v>#DIV/0!</v>
      </c>
      <c r="EJ46" s="20" t="e">
        <v>#DIV/0!</v>
      </c>
      <c r="EK46" s="20" t="e">
        <f t="shared" ca="1" si="31"/>
        <v>#DIV/0!</v>
      </c>
      <c r="EL46" s="2"/>
      <c r="EM46" s="40" t="str">
        <f>IF(VLOOKUP(BH46,Fundamentus!A:U,3,FALSE)&lt;15,"Bom",IF(VLOOKUP(BH46,Fundamentus!A:U,3,FALSE)&gt;15,"Ruim","n/a"))</f>
        <v>Bom</v>
      </c>
      <c r="EN46" s="36" t="str">
        <f>IF(VLOOKUP(BH46,Fundamentus!A:U,4,FALSE)&lt;1,"Baixo",IF(VLOOKUP(BH46,Fundamentus!A:U,4,FALSE)&lt;1.5,"Moderado",IF(VLOOKUP(BH46,Fundamentus!A:U,4,FALSE)&gt;1.5,"Alto","n/a")))</f>
        <v>Alto</v>
      </c>
      <c r="EO46" s="20" t="str">
        <f>IF(VLOOKUP(BH46,Fundamentus!A:U,8,FALSE)&lt;0,"Risco elevado",IF(VLOOKUP(BH46,Fundamentus!A:U,8,FALSE)&lt;1,"Saudável",IF(VLOOKUP(BH46,Fundamentus!A:U,8,FALSE)&lt;3,"Estável",IF(VLOOKUP(BH46,Fundamentus!A:U,8,FALSE)&gt;3,"Alerta","n/a"))))</f>
        <v>Saudável</v>
      </c>
      <c r="EP46" s="36" t="str">
        <f t="shared" si="32"/>
        <v>Ruim</v>
      </c>
      <c r="EQ46" s="20" t="str">
        <f>IF(VLOOKUP(BH46,Fundamentus!A:U,12,FALSE)&lt;2,"Subvalorizada",IF(VLOOKUP(BH46,Fundamentus!A:U,12,FALSE)&lt;6,"Muita barata",IF(VLOOKUP(BH46,Fundamentus!A:U,12,FALSE)&lt;6,"Barata",IF(VLOOKUP(BH46,Fundamentus!A:U,12,FALSE)&lt;8,"Atrativa",IF(VLOOKUP(BH46,Fundamentus!A:U,12,FALSE)&gt;8,"Supervalorizada","n/a")))))</f>
        <v>Subvalorizada</v>
      </c>
      <c r="ER46" s="2"/>
      <c r="ES46" s="20" t="str">
        <f>IF(VLOOKUP(BH46,Fundamentus!A:U,17,FALSE)&lt;0.1,"Fraco retorno",IF(VLOOKUP(BH46,Fundamentus!A:U,17,FALSE)&gt;0.1,"Bom retorno","n/a"))</f>
        <v>Bom retorno</v>
      </c>
      <c r="ET46" s="20" t="str">
        <f>IF(VLOOKUP(BH46,Fundamentus!A:U,16,FALSE)&lt;0.1,"Ineficiente",IF(VLOOKUP(BH46,Fundamentus!A:U,16,FALSE)&gt;0.1,"Eficiente","n/a"))</f>
        <v>Ineficiente</v>
      </c>
      <c r="EU46" s="41" t="str">
        <f>IF(VLOOKUP(BH46,Fundamentus!A:U,16,FALSE)&lt;0.1,"Oper. Ineficiente",IF(VLOOKUP(BH46,Fundamentus!A:U,16,FALSE)&gt;0.1,"Oper.Eficiente","n/a"))</f>
        <v>Oper. Ineficiente</v>
      </c>
      <c r="EV46" s="42">
        <f>VLOOKUP(BH46,Fundamentus!A:U,14,FALSE)</f>
        <v>0</v>
      </c>
      <c r="EW46" s="20" t="str">
        <f>IF(VLOOKUP(BH46,Fundamentus!A:U,21,FALSE)&lt;0,"Negativo",IF(VLOOKUP(BH46,Fundamentus!A:U,21,FALSE)&lt;0.05,"Fraco",IF(VLOOKUP(BH46,Fundamentus!A:U,21,FALSE)&lt;0.1,"Bom",IF(VLOOKUP(BH46,Fundamentus!A:U,21,FALSE)&gt;0.1,"Muito bom","n/a"))))</f>
        <v>Muito bom</v>
      </c>
      <c r="EY46" s="37" t="str">
        <f>IF(VLOOKUP(BH46,Fundamentus!A:U,15,FALSE)&gt;1,"Bom",IF(VLOOKUP(BH46,Fundamentus!A:U,15,FALSE)&lt;1,"Ruim","n/a"))</f>
        <v>Ruim</v>
      </c>
      <c r="EZ46" s="20" t="str">
        <f>IF(VLOOKUP(BH46,Fundamentus!A:U,20,FALSE)&lt;0.5,"Baixa",IF(VLOOKUP(BH46,Fundamentus!A:U,20,FALSE)&lt;1,"Moderada",IF(VLOOKUP(BH46,Fundamentus!A:U,20,FALSE)&lt;2,"Alerta",IF(VLOOKUP(BH46,Fundamentus!A:U,20,FALSE)&gt;2,"Alta","n/a"))))</f>
        <v>Baixa</v>
      </c>
    </row>
    <row r="47" spans="1:156" s="2" customFormat="1" ht="11.25" hidden="1" x14ac:dyDescent="0.2">
      <c r="A47" s="4">
        <v>25.67</v>
      </c>
      <c r="B47" s="4">
        <v>25.7</v>
      </c>
      <c r="C47" s="4">
        <v>25.37</v>
      </c>
      <c r="D47" s="4">
        <v>25.34</v>
      </c>
      <c r="E47" s="4">
        <v>25.29</v>
      </c>
      <c r="F47" s="4">
        <v>24.85</v>
      </c>
      <c r="G47" s="4">
        <v>25.54</v>
      </c>
      <c r="H47" s="4">
        <v>25.43</v>
      </c>
      <c r="I47" s="4">
        <v>25.64</v>
      </c>
      <c r="J47" s="4">
        <v>27.06</v>
      </c>
      <c r="K47" s="4">
        <v>27.19</v>
      </c>
      <c r="L47" s="4">
        <v>27.87</v>
      </c>
      <c r="M47" s="4">
        <v>26.66</v>
      </c>
      <c r="N47" s="4">
        <v>25.65</v>
      </c>
      <c r="O47" s="4">
        <v>26.13</v>
      </c>
      <c r="P47" s="4">
        <v>25.95</v>
      </c>
      <c r="Q47" s="4">
        <v>25.9</v>
      </c>
      <c r="R47" s="4">
        <v>25.91</v>
      </c>
      <c r="S47" s="4">
        <v>26.54</v>
      </c>
      <c r="T47" s="4">
        <v>26.62</v>
      </c>
      <c r="U47" s="4">
        <v>24.83</v>
      </c>
      <c r="V47" s="4">
        <v>25.58</v>
      </c>
      <c r="W47" s="4">
        <v>25.15</v>
      </c>
      <c r="X47" s="4">
        <v>24.74</v>
      </c>
      <c r="Y47" s="4">
        <v>24.59</v>
      </c>
      <c r="Z47" s="4">
        <v>23.53</v>
      </c>
      <c r="AA47" s="4">
        <v>23.5</v>
      </c>
      <c r="AB47" s="4">
        <v>23.85</v>
      </c>
      <c r="AC47" s="4">
        <v>23.92</v>
      </c>
      <c r="AD47" s="4">
        <v>24</v>
      </c>
      <c r="AE47" s="4">
        <v>23.63</v>
      </c>
      <c r="AF47" s="4">
        <v>23.05</v>
      </c>
      <c r="AG47" s="4">
        <v>23.47</v>
      </c>
      <c r="AH47" s="4">
        <v>22.55</v>
      </c>
      <c r="AI47" s="4">
        <v>22.29</v>
      </c>
      <c r="AJ47" s="4">
        <v>22.23</v>
      </c>
      <c r="AK47" s="4">
        <v>22.18</v>
      </c>
      <c r="AL47" s="4">
        <v>22.43</v>
      </c>
      <c r="AM47" s="4">
        <v>22.22</v>
      </c>
      <c r="AN47" s="4">
        <v>22.67</v>
      </c>
      <c r="AO47" s="4">
        <v>22.01</v>
      </c>
      <c r="AP47" s="4">
        <v>21.82</v>
      </c>
      <c r="AQ47" s="4">
        <v>20.98</v>
      </c>
      <c r="AR47" s="4">
        <v>20.77</v>
      </c>
      <c r="AS47" s="4">
        <v>21.47</v>
      </c>
      <c r="AT47" s="4">
        <v>21.41</v>
      </c>
      <c r="AU47" s="4">
        <v>22.21</v>
      </c>
      <c r="AV47" s="4">
        <v>22.01</v>
      </c>
      <c r="AW47" s="4">
        <v>22.39</v>
      </c>
      <c r="AX47" s="4">
        <v>22.04</v>
      </c>
      <c r="AY47" s="12">
        <v>21.18</v>
      </c>
      <c r="AZ47" s="12">
        <v>21.56</v>
      </c>
      <c r="BA47" s="12">
        <v>21.18</v>
      </c>
      <c r="BB47" s="18">
        <v>20.27</v>
      </c>
      <c r="BC47" s="63">
        <v>21.41</v>
      </c>
      <c r="BD47" s="63">
        <v>21.3</v>
      </c>
      <c r="BE47" s="63">
        <v>21.02</v>
      </c>
      <c r="BF47" s="63">
        <v>21.25</v>
      </c>
      <c r="BG47" s="91" cm="1">
        <f t="array" aca="1" ref="BG47" ca="1">_FV(EE47,"Preço")</f>
        <v>20.82</v>
      </c>
      <c r="BH47" s="93" t="s">
        <v>45</v>
      </c>
      <c r="BI47" s="32" cm="1">
        <f t="array" aca="1" ref="BI47" ca="1">_FV(EE47,"Beta")</f>
        <v>0.67159999999999997</v>
      </c>
      <c r="BJ47" s="96" cm="1">
        <f t="array" aca="1" ref="BJ47" ca="1">_FV(EE47,"Variação (%)",TRUE)</f>
        <v>-3.3510000000000002E-3</v>
      </c>
      <c r="BK47" s="49"/>
      <c r="BL47" s="49"/>
      <c r="BN47" s="32"/>
      <c r="BO47" s="20" cm="1">
        <f t="array" aca="1" ref="BO47" ca="1">_FV(EE47,"Baixo")</f>
        <v>20.68</v>
      </c>
      <c r="BP47" s="20" cm="1">
        <f t="array" aca="1" ref="BP47" ca="1">_FV(EE47,"Alto")</f>
        <v>21.1</v>
      </c>
      <c r="BQ47" s="32"/>
      <c r="BR47" s="74">
        <f ca="1">SQRT(22.5*(BG47/VLOOKUP(BH47,Fundamentus!A:U,3,FALSE))*(BG47/VLOOKUP(BH47,Fundamentus!A:U,4,FALSE)))</f>
        <v>37.220795827674813</v>
      </c>
      <c r="BT47" s="73">
        <f t="shared" ca="1" si="0"/>
        <v>-2.0235294117647046E-2</v>
      </c>
      <c r="BU47" s="36">
        <f t="shared" si="1"/>
        <v>-0.18114530580444105</v>
      </c>
      <c r="BV47" s="8"/>
      <c r="BW47" s="72">
        <f t="shared" si="2"/>
        <v>20.27</v>
      </c>
      <c r="BX47" s="72">
        <f t="shared" si="3"/>
        <v>23.741379310344829</v>
      </c>
      <c r="BY47" s="72">
        <f t="shared" si="4"/>
        <v>27.87</v>
      </c>
      <c r="BZ47" s="17"/>
      <c r="CA47" s="17"/>
      <c r="CB47" s="43">
        <f t="shared" si="5"/>
        <v>20.772590428283014</v>
      </c>
      <c r="CC47" s="18">
        <f t="shared" si="6"/>
        <v>21.057019681349573</v>
      </c>
      <c r="CD47" s="43">
        <f t="shared" si="7"/>
        <v>21.341448934416132</v>
      </c>
      <c r="CE47" s="98">
        <f t="shared" ca="1" si="8"/>
        <v>-0.83331682235268401</v>
      </c>
      <c r="CF47" s="17"/>
      <c r="CG47" s="20">
        <f t="shared" si="9"/>
        <v>10.789999999999996</v>
      </c>
      <c r="CH47" s="20">
        <f t="shared" si="10"/>
        <v>15.529999999999998</v>
      </c>
      <c r="CI47" s="20">
        <f t="shared" si="11"/>
        <v>18.389999999999997</v>
      </c>
      <c r="CJ47" s="49">
        <f t="shared" si="12"/>
        <v>23.13</v>
      </c>
      <c r="CK47" s="20">
        <f t="shared" si="13"/>
        <v>25.99</v>
      </c>
      <c r="CL47" s="20">
        <f t="shared" si="14"/>
        <v>30.73</v>
      </c>
      <c r="CM47" s="20">
        <f t="shared" si="15"/>
        <v>33.590000000000003</v>
      </c>
      <c r="CN47" s="2" cm="1">
        <f t="array" aca="1" ref="CN47" ca="1">MAX(_xlfn._xlws.FILTER(CG47:CM47,CG47:CM47&lt;BG47))</f>
        <v>18.389999999999997</v>
      </c>
      <c r="CO47" s="2" cm="1">
        <f t="array" aca="1" ref="CO47" ca="1">MIN(_xlfn._xlws.FILTER($CG47:$CM47,$CG47:$CM47&gt;BG47))</f>
        <v>23.13</v>
      </c>
      <c r="CP47" s="19">
        <f t="shared" ca="1" si="65"/>
        <v>0.25774877650897232</v>
      </c>
      <c r="CQ47" s="23">
        <f t="shared" ca="1" si="66"/>
        <v>-0.12887438825448616</v>
      </c>
      <c r="CR47" s="23">
        <f t="shared" ca="1" si="67"/>
        <v>-8.5916258836324103E-2</v>
      </c>
      <c r="CS47" s="23">
        <f t="shared" ca="1" si="68"/>
        <v>-5.1549755301794467E-2</v>
      </c>
      <c r="CT47" s="23">
        <f t="shared" ca="1" si="69"/>
        <v>-2.8638752945441368E-2</v>
      </c>
      <c r="CU47" s="23">
        <f t="shared" ca="1" si="70"/>
        <v>-1.5161692735821901E-2</v>
      </c>
      <c r="CV47" s="23">
        <f t="shared" ca="1" si="71"/>
        <v>-7.8105689851203737E-3</v>
      </c>
      <c r="CW47" s="23">
        <f t="shared" ca="1" si="72"/>
        <v>-3.9653657924457282E-3</v>
      </c>
      <c r="CX47" s="24">
        <f t="shared" ca="1" si="73"/>
        <v>3.9653657924457282E-3</v>
      </c>
      <c r="CY47" s="24">
        <f t="shared" ca="1" si="74"/>
        <v>7.8105689851203737E-3</v>
      </c>
      <c r="CZ47" s="24">
        <f t="shared" ca="1" si="75"/>
        <v>1.5161692735821901E-2</v>
      </c>
      <c r="DA47" s="24">
        <f t="shared" ca="1" si="76"/>
        <v>2.8638752945441368E-2</v>
      </c>
      <c r="DB47" s="24">
        <f t="shared" ca="1" si="77"/>
        <v>5.1549755301794467E-2</v>
      </c>
      <c r="DC47" s="24">
        <f t="shared" ca="1" si="78"/>
        <v>8.5916258836324103E-2</v>
      </c>
      <c r="DD47" s="24">
        <f t="shared" ca="1" si="79"/>
        <v>0.12887438825448616</v>
      </c>
      <c r="DF47" s="19" cm="1">
        <f t="array" aca="1" ref="DF47" ca="1">MAX(_xlfn._xlws.FILTER(CQ47:DD47,CQ47:DD47&lt;BJ47))</f>
        <v>-3.9653657924457282E-3</v>
      </c>
      <c r="DG47" s="19" cm="1">
        <f t="array" aca="1" ref="DG47" ca="1">MIN(_xlfn._xlws.FILTER(CQ47:DD47,CQ47:DD47&gt;BJ47))</f>
        <v>3.9653657924457282E-3</v>
      </c>
      <c r="DH47" s="2" cm="1">
        <f t="array" aca="1" ref="DH47" ca="1">_FV(EE47,"Fechamento anterior",TRUE)</f>
        <v>20.89</v>
      </c>
      <c r="DI47" s="36">
        <f t="shared" ca="1" si="22"/>
        <v>7.7480897528338089E-2</v>
      </c>
      <c r="DJ47" s="18">
        <f t="shared" ca="1" si="80"/>
        <v>20.80716350859581</v>
      </c>
      <c r="DK47" s="18">
        <f t="shared" ca="1" si="81"/>
        <v>20.972836491404191</v>
      </c>
      <c r="DL47" s="9"/>
      <c r="DM47" s="9"/>
      <c r="DN47" s="9"/>
      <c r="DO47" s="9"/>
      <c r="DP47" s="79">
        <v>1.3608984707250589E-2</v>
      </c>
      <c r="DQ47" s="79">
        <v>1.3325594238218066E-2</v>
      </c>
      <c r="DR47" s="79">
        <v>7.8415996863360152E-3</v>
      </c>
      <c r="DS47" s="79">
        <f t="shared" ca="1" si="25"/>
        <v>7.9307315848914563E-3</v>
      </c>
      <c r="DT47" s="47"/>
      <c r="DU47" s="43">
        <f t="shared" si="26"/>
        <v>0.14221462653327921</v>
      </c>
      <c r="DV47" s="83">
        <f t="shared" ca="1" si="27"/>
        <v>1.0976999999999999</v>
      </c>
      <c r="DW47" s="83">
        <f t="shared" ca="1" si="28"/>
        <v>1.0066999999999999</v>
      </c>
      <c r="DX47" s="83">
        <f t="shared" ca="1" si="29"/>
        <v>9.099999999999997E-2</v>
      </c>
      <c r="DY47" s="67"/>
      <c r="DZ47" s="67"/>
      <c r="EA47" s="85"/>
      <c r="EB47" s="44">
        <v>154800</v>
      </c>
      <c r="EC47" s="44" cm="1">
        <f t="array" aca="1" ref="EC47" ca="1">_FV(EE47,"Volume")</f>
        <v>106800</v>
      </c>
      <c r="EE47" s="2" t="e" vm="47">
        <v>#VALUE!</v>
      </c>
      <c r="EG47" s="10" cm="1">
        <f t="array" aca="1" ref="EG47" ca="1">_FV(EE47,"Ações em circulação",TRUE)</f>
        <v>102683400</v>
      </c>
      <c r="EH47" s="21">
        <f>VLOOKUP(BH47,Fundamentus!A:U,5,FALSE)</f>
        <v>1.609</v>
      </c>
      <c r="EI47" s="2">
        <f t="shared" ca="1" si="30"/>
        <v>1328693839.6519578</v>
      </c>
      <c r="EJ47" s="20">
        <v>309876994.48415166</v>
      </c>
      <c r="EK47" s="20">
        <f t="shared" ca="1" si="31"/>
        <v>303606542.36047238</v>
      </c>
      <c r="EM47" s="40" t="str">
        <f>IF(VLOOKUP(BH47,Fundamentus!A:U,3,FALSE)&lt;15,"Bom",IF(VLOOKUP(BH47,Fundamentus!A:U,3,FALSE)&gt;15,"Ruim","n/a"))</f>
        <v>Bom</v>
      </c>
      <c r="EN47" s="36" t="str">
        <f>IF(VLOOKUP(BH47,Fundamentus!A:U,4,FALSE)&lt;1,"Baixo",IF(VLOOKUP(BH47,Fundamentus!A:U,4,FALSE)&lt;1.5,"Moderado",IF(VLOOKUP(BH47,Fundamentus!A:U,4,FALSE)&gt;1.5,"Alto","n/a")))</f>
        <v>Moderado</v>
      </c>
      <c r="EO47" s="20" t="str">
        <f>IF(VLOOKUP(BH47,Fundamentus!A:U,8,FALSE)&lt;0,"Risco elevado",IF(VLOOKUP(BH47,Fundamentus!A:U,8,FALSE)&lt;1,"Saudável",IF(VLOOKUP(BH47,Fundamentus!A:U,8,FALSE)&lt;3,"Estável",IF(VLOOKUP(BH47,Fundamentus!A:U,8,FALSE)&gt;3,"Alerta","n/a"))))</f>
        <v>Alerta</v>
      </c>
      <c r="EP47" s="36" t="str">
        <f t="shared" si="32"/>
        <v>Bom</v>
      </c>
      <c r="EQ47" s="20" t="str">
        <f>IF(VLOOKUP(BH47,Fundamentus!A:U,12,FALSE)&lt;2,"Subvalorizada",IF(VLOOKUP(BH47,Fundamentus!A:U,12,FALSE)&lt;6,"Muita barata",IF(VLOOKUP(BH47,Fundamentus!A:U,12,FALSE)&lt;6,"Barata",IF(VLOOKUP(BH47,Fundamentus!A:U,12,FALSE)&lt;8,"Atrativa",IF(VLOOKUP(BH47,Fundamentus!A:U,12,FALSE)&gt;8,"Supervalorizada","n/a")))))</f>
        <v>Atrativa</v>
      </c>
      <c r="ES47" s="20" t="str">
        <f>IF(VLOOKUP(BH47,Fundamentus!A:U,17,FALSE)&lt;0.1,"Fraco retorno",IF(VLOOKUP(BH47,Fundamentus!A:U,17,FALSE)&gt;0.1,"Bom retorno","n/a"))</f>
        <v>Bom retorno</v>
      </c>
      <c r="ET47" s="20" t="str">
        <f>IF(VLOOKUP(BH47,Fundamentus!A:U,16,FALSE)&lt;0.1,"Ineficiente",IF(VLOOKUP(BH47,Fundamentus!A:U,16,FALSE)&gt;0.1,"Eficiente","n/a"))</f>
        <v>Eficiente</v>
      </c>
      <c r="EU47" s="41" t="str">
        <f>IF(VLOOKUP(BH47,Fundamentus!A:U,16,FALSE)&lt;0.1,"Oper. Ineficiente",IF(VLOOKUP(BH47,Fundamentus!A:U,16,FALSE)&gt;0.1,"Oper.Eficiente","n/a"))</f>
        <v>Oper.Eficiente</v>
      </c>
      <c r="EV47" s="42">
        <f>VLOOKUP(BH47,Fundamentus!A:U,14,FALSE)</f>
        <v>0.22850000000000001</v>
      </c>
      <c r="EW47" s="20" t="str">
        <f>IF(VLOOKUP(BH47,Fundamentus!A:U,21,FALSE)&lt;0,"Negativo",IF(VLOOKUP(BH47,Fundamentus!A:U,21,FALSE)&lt;0.05,"Fraco",IF(VLOOKUP(BH47,Fundamentus!A:U,21,FALSE)&lt;0.1,"Bom",IF(VLOOKUP(BH47,Fundamentus!A:U,21,FALSE)&gt;0.1,"Muito bom","n/a"))))</f>
        <v>Negativo</v>
      </c>
      <c r="EY47" s="37" t="str">
        <f>IF(VLOOKUP(BH47,Fundamentus!A:U,15,FALSE)&gt;1,"Bom",IF(VLOOKUP(BH47,Fundamentus!A:U,15,FALSE)&lt;1,"Ruim","n/a"))</f>
        <v>Bom</v>
      </c>
      <c r="EZ47" s="20" t="str">
        <f>IF(VLOOKUP(BH47,Fundamentus!A:U,20,FALSE)&lt;0.5,"Baixa",IF(VLOOKUP(BH47,Fundamentus!A:U,20,FALSE)&lt;1,"Moderada",IF(VLOOKUP(BH47,Fundamentus!A:U,20,FALSE)&lt;2,"Alerta",IF(VLOOKUP(BH47,Fundamentus!A:U,20,FALSE)&gt;2,"Alta","n/a"))))</f>
        <v>Moderada</v>
      </c>
    </row>
    <row r="48" spans="1:156" s="2" customFormat="1" ht="11.25" hidden="1" x14ac:dyDescent="0.2">
      <c r="A48" s="4">
        <v>3.35</v>
      </c>
      <c r="B48" s="4">
        <v>3.29</v>
      </c>
      <c r="C48" s="4">
        <v>3.38</v>
      </c>
      <c r="D48" s="4">
        <v>3.3</v>
      </c>
      <c r="E48" s="4">
        <v>3.35</v>
      </c>
      <c r="F48" s="4">
        <v>3.26</v>
      </c>
      <c r="G48" s="4">
        <v>3.19</v>
      </c>
      <c r="H48" s="4">
        <v>3.1</v>
      </c>
      <c r="I48" s="4">
        <v>3.42</v>
      </c>
      <c r="J48" s="4">
        <v>3.49</v>
      </c>
      <c r="K48" s="4">
        <v>3.58</v>
      </c>
      <c r="L48" s="4">
        <v>3.73</v>
      </c>
      <c r="M48" s="4">
        <v>3.48</v>
      </c>
      <c r="N48" s="4">
        <v>3.46</v>
      </c>
      <c r="O48" s="4">
        <v>3.55</v>
      </c>
      <c r="P48" s="4">
        <v>3.68</v>
      </c>
      <c r="Q48" s="4">
        <v>3.79</v>
      </c>
      <c r="R48" s="4">
        <v>3.79</v>
      </c>
      <c r="S48" s="4">
        <v>3.84</v>
      </c>
      <c r="T48" s="4">
        <v>3.91</v>
      </c>
      <c r="U48" s="4">
        <v>3.86</v>
      </c>
      <c r="V48" s="4">
        <v>3.78</v>
      </c>
      <c r="W48" s="4">
        <v>4.0999999999999996</v>
      </c>
      <c r="X48" s="4">
        <v>4.24</v>
      </c>
      <c r="Y48" s="4">
        <v>4.2</v>
      </c>
      <c r="Z48" s="4">
        <v>4.09</v>
      </c>
      <c r="AA48" s="4">
        <v>3.98</v>
      </c>
      <c r="AB48" s="4">
        <v>4.0199999999999996</v>
      </c>
      <c r="AC48" s="4">
        <v>4</v>
      </c>
      <c r="AD48" s="4">
        <v>4.01</v>
      </c>
      <c r="AE48" s="4">
        <v>4.05</v>
      </c>
      <c r="AF48" s="4">
        <v>3.94</v>
      </c>
      <c r="AG48" s="4">
        <v>3.89</v>
      </c>
      <c r="AH48" s="4">
        <v>3.71</v>
      </c>
      <c r="AI48" s="4">
        <v>3.76</v>
      </c>
      <c r="AJ48" s="4">
        <v>3.73</v>
      </c>
      <c r="AK48" s="4">
        <v>3.73</v>
      </c>
      <c r="AL48" s="4">
        <v>3.72</v>
      </c>
      <c r="AM48" s="4">
        <v>3.73</v>
      </c>
      <c r="AN48" s="4">
        <v>3.78</v>
      </c>
      <c r="AO48" s="4">
        <v>3.85</v>
      </c>
      <c r="AP48" s="4">
        <v>3.94</v>
      </c>
      <c r="AQ48" s="4">
        <v>3.84</v>
      </c>
      <c r="AR48" s="4">
        <v>3.86</v>
      </c>
      <c r="AS48" s="4">
        <v>3.84</v>
      </c>
      <c r="AT48" s="4">
        <v>3.79</v>
      </c>
      <c r="AU48" s="4">
        <v>3.79</v>
      </c>
      <c r="AV48" s="4">
        <v>3.9</v>
      </c>
      <c r="AW48" s="4">
        <v>3.69</v>
      </c>
      <c r="AX48" s="4">
        <v>3.67</v>
      </c>
      <c r="AY48" s="12">
        <v>3.74</v>
      </c>
      <c r="AZ48" s="12">
        <v>3.8</v>
      </c>
      <c r="BA48" s="12">
        <v>3.81</v>
      </c>
      <c r="BB48" s="18">
        <v>3.78</v>
      </c>
      <c r="BC48" s="63">
        <v>3.87</v>
      </c>
      <c r="BD48" s="63">
        <v>3.75</v>
      </c>
      <c r="BE48" s="63">
        <v>3.71</v>
      </c>
      <c r="BF48" s="63">
        <v>3.71</v>
      </c>
      <c r="BG48" s="91" cm="1">
        <f t="array" aca="1" ref="BG48" ca="1">_FV(EE48,"Preço")</f>
        <v>3.67</v>
      </c>
      <c r="BH48" s="93" t="s">
        <v>46</v>
      </c>
      <c r="BI48" s="32" cm="1">
        <f t="array" aca="1" ref="BI48" ca="1">_FV(EE48,"Beta")</f>
        <v>1.1769000000000001</v>
      </c>
      <c r="BJ48" s="96" cm="1">
        <f t="array" aca="1" ref="BJ48" ca="1">_FV(EE48,"Variação (%)",TRUE)</f>
        <v>-2.7169999999999998E-3</v>
      </c>
      <c r="BK48" s="49"/>
      <c r="BL48" s="49"/>
      <c r="BN48" s="32"/>
      <c r="BO48" s="20" cm="1">
        <f t="array" aca="1" ref="BO48" ca="1">_FV(EE48,"Baixo")</f>
        <v>3.66</v>
      </c>
      <c r="BP48" s="20" cm="1">
        <f t="array" aca="1" ref="BP48" ca="1">_FV(EE48,"Alto")</f>
        <v>3.69</v>
      </c>
      <c r="BQ48" s="32"/>
      <c r="BR48" s="74">
        <f ca="1">SQRT(22.5*(BG48/VLOOKUP(BH48,Fundamentus!A:U,3,FALSE))*(BG48/VLOOKUP(BH48,Fundamentus!A:U,4,FALSE)))</f>
        <v>10.227996516146366</v>
      </c>
      <c r="BT48" s="73">
        <f t="shared" ca="1" si="0"/>
        <v>-1.0781671159029659E-2</v>
      </c>
      <c r="BU48" s="36">
        <f t="shared" si="1"/>
        <v>0.10746268656716414</v>
      </c>
      <c r="BV48" s="8"/>
      <c r="BW48" s="72">
        <f t="shared" si="2"/>
        <v>3.1</v>
      </c>
      <c r="BX48" s="72">
        <f t="shared" si="3"/>
        <v>3.7344827586206892</v>
      </c>
      <c r="BY48" s="72">
        <f t="shared" si="4"/>
        <v>4.24</v>
      </c>
      <c r="BZ48" s="17"/>
      <c r="CA48" s="17"/>
      <c r="CB48" s="43">
        <f t="shared" si="5"/>
        <v>3.5004257374802235</v>
      </c>
      <c r="CC48" s="18">
        <f t="shared" si="6"/>
        <v>3.6315745079662634</v>
      </c>
      <c r="CD48" s="43">
        <f t="shared" si="7"/>
        <v>3.7627232784523033</v>
      </c>
      <c r="CE48" s="98">
        <f t="shared" ca="1" si="8"/>
        <v>0.29299162997358613</v>
      </c>
      <c r="CF48" s="17"/>
      <c r="CG48" s="20">
        <f t="shared" si="9"/>
        <v>1.9866666666666668</v>
      </c>
      <c r="CH48" s="20">
        <f t="shared" si="10"/>
        <v>2.5433333333333334</v>
      </c>
      <c r="CI48" s="20">
        <f t="shared" si="11"/>
        <v>3.1266666666666669</v>
      </c>
      <c r="CJ48" s="49">
        <f t="shared" si="12"/>
        <v>3.6833333333333336</v>
      </c>
      <c r="CK48" s="20">
        <f t="shared" si="13"/>
        <v>4.2666666666666675</v>
      </c>
      <c r="CL48" s="20">
        <f t="shared" si="14"/>
        <v>4.8233333333333341</v>
      </c>
      <c r="CM48" s="20">
        <f t="shared" si="15"/>
        <v>5.4066666666666672</v>
      </c>
      <c r="CN48" s="2" cm="1">
        <f t="array" aca="1" ref="CN48" ca="1">MAX(_xlfn._xlws.FILTER(CG48:CM48,CG48:CM48&lt;BG48))</f>
        <v>3.1266666666666669</v>
      </c>
      <c r="CO48" s="2" cm="1">
        <f t="array" aca="1" ref="CO48" ca="1">MIN(_xlfn._xlws.FILTER($CG48:$CM48,$CG48:$CM48&gt;BG48))</f>
        <v>3.6833333333333336</v>
      </c>
      <c r="CP48" s="19">
        <f t="shared" ca="1" si="65"/>
        <v>0.17803837953091683</v>
      </c>
      <c r="CQ48" s="23">
        <f t="shared" ca="1" si="66"/>
        <v>-8.9019189765458417E-2</v>
      </c>
      <c r="CR48" s="23">
        <f t="shared" ca="1" si="67"/>
        <v>-5.9346126510305609E-2</v>
      </c>
      <c r="CS48" s="23">
        <f t="shared" ca="1" si="68"/>
        <v>-3.560767590618337E-2</v>
      </c>
      <c r="CT48" s="23">
        <f t="shared" ca="1" si="69"/>
        <v>-1.978204217010187E-2</v>
      </c>
      <c r="CU48" s="23">
        <f t="shared" ca="1" si="70"/>
        <v>-1.0472845854759813E-2</v>
      </c>
      <c r="CV48" s="23">
        <f t="shared" ca="1" si="71"/>
        <v>-5.3951024100277831E-3</v>
      </c>
      <c r="CW48" s="23">
        <f t="shared" ca="1" si="72"/>
        <v>-2.7390519927833357E-3</v>
      </c>
      <c r="CX48" s="24">
        <f t="shared" ca="1" si="73"/>
        <v>2.7390519927833357E-3</v>
      </c>
      <c r="CY48" s="24">
        <f t="shared" ca="1" si="74"/>
        <v>5.3951024100277831E-3</v>
      </c>
      <c r="CZ48" s="24">
        <f t="shared" ca="1" si="75"/>
        <v>1.0472845854759813E-2</v>
      </c>
      <c r="DA48" s="24">
        <f t="shared" ca="1" si="76"/>
        <v>1.978204217010187E-2</v>
      </c>
      <c r="DB48" s="24">
        <f t="shared" ca="1" si="77"/>
        <v>3.560767590618337E-2</v>
      </c>
      <c r="DC48" s="24">
        <f t="shared" ca="1" si="78"/>
        <v>5.9346126510305609E-2</v>
      </c>
      <c r="DD48" s="24">
        <f t="shared" ca="1" si="79"/>
        <v>8.9019189765458417E-2</v>
      </c>
      <c r="DF48" s="19" cm="1">
        <f t="array" aca="1" ref="DF48" ca="1">MAX(_xlfn._xlws.FILTER(CQ48:DD48,CQ48:DD48&lt;BJ48))</f>
        <v>-2.7390519927833357E-3</v>
      </c>
      <c r="DG48" s="19" cm="1">
        <f t="array" aca="1" ref="DG48" ca="1">MIN(_xlfn._xlws.FILTER(CQ48:DD48,CQ48:DD48&gt;BJ48))</f>
        <v>2.7390519927833357E-3</v>
      </c>
      <c r="DH48" s="2" cm="1">
        <f t="array" aca="1" ref="DH48" ca="1">_FV(EE48,"Fechamento anterior",TRUE)</f>
        <v>3.68</v>
      </c>
      <c r="DI48" s="36">
        <f t="shared" ca="1" si="22"/>
        <v>3.9540484248712935E-3</v>
      </c>
      <c r="DJ48" s="18">
        <f t="shared" ca="1" si="80"/>
        <v>3.6699202886665576</v>
      </c>
      <c r="DK48" s="18">
        <f t="shared" ca="1" si="81"/>
        <v>3.6900797113334427</v>
      </c>
      <c r="DL48" s="9"/>
      <c r="DM48" s="9"/>
      <c r="DN48" s="9"/>
      <c r="DO48" s="9"/>
      <c r="DP48" s="79">
        <v>1.1558050098742317E-2</v>
      </c>
      <c r="DQ48" s="79">
        <v>4.0008634957184944E-3</v>
      </c>
      <c r="DR48" s="79">
        <v>4.0008634957184944E-3</v>
      </c>
      <c r="DS48" s="79">
        <f t="shared" ca="1" si="25"/>
        <v>5.4781039855666715E-3</v>
      </c>
      <c r="DT48" s="47"/>
      <c r="DU48" s="43">
        <f t="shared" si="26"/>
        <v>6.5574385243020061E-2</v>
      </c>
      <c r="DV48" s="83">
        <f t="shared" ca="1" si="27"/>
        <v>1.603</v>
      </c>
      <c r="DW48" s="83">
        <f t="shared" ca="1" si="28"/>
        <v>1.4486000000000001</v>
      </c>
      <c r="DX48" s="83">
        <f t="shared" ca="1" si="29"/>
        <v>0.15439999999999987</v>
      </c>
      <c r="DY48" s="67"/>
      <c r="DZ48" s="67"/>
      <c r="EA48" s="85"/>
      <c r="EB48" s="44">
        <v>319500</v>
      </c>
      <c r="EC48" s="44" cm="1">
        <f t="array" aca="1" ref="EC48" ca="1">_FV(EE48,"Volume")</f>
        <v>324100</v>
      </c>
      <c r="EE48" s="2" t="e" vm="48">
        <v>#VALUE!</v>
      </c>
      <c r="EG48" s="10" cm="1">
        <f t="array" aca="1" ref="EG48" ca="1">_FV(EE48,"Ações em circulação",TRUE)</f>
        <v>210536200</v>
      </c>
      <c r="EH48" s="21">
        <f>VLOOKUP(BH48,Fundamentus!A:U,5,FALSE)</f>
        <v>0</v>
      </c>
      <c r="EI48" s="2" t="e">
        <f t="shared" ca="1" si="30"/>
        <v>#DIV/0!</v>
      </c>
      <c r="EJ48" s="20" t="e">
        <v>#DIV/0!</v>
      </c>
      <c r="EK48" s="20" t="e">
        <f t="shared" ca="1" si="31"/>
        <v>#DIV/0!</v>
      </c>
      <c r="EM48" s="40" t="str">
        <f>IF(VLOOKUP(BH48,Fundamentus!A:U,3,FALSE)&lt;15,"Bom",IF(VLOOKUP(BH48,Fundamentus!A:U,3,FALSE)&gt;15,"Ruim","n/a"))</f>
        <v>Bom</v>
      </c>
      <c r="EN48" s="36" t="str">
        <f>IF(VLOOKUP(BH48,Fundamentus!A:U,4,FALSE)&lt;1,"Baixo",IF(VLOOKUP(BH48,Fundamentus!A:U,4,FALSE)&lt;1.5,"Moderado",IF(VLOOKUP(BH48,Fundamentus!A:U,4,FALSE)&gt;1.5,"Alto","n/a")))</f>
        <v>Baixo</v>
      </c>
      <c r="EO48" s="20" t="str">
        <f>IF(VLOOKUP(BH48,Fundamentus!A:U,8,FALSE)&lt;0,"Risco elevado",IF(VLOOKUP(BH48,Fundamentus!A:U,8,FALSE)&lt;1,"Saudável",IF(VLOOKUP(BH48,Fundamentus!A:U,8,FALSE)&lt;3,"Estável",IF(VLOOKUP(BH48,Fundamentus!A:U,8,FALSE)&gt;3,"Alerta","n/a"))))</f>
        <v>Saudável</v>
      </c>
      <c r="EP48" s="36" t="str">
        <f t="shared" si="32"/>
        <v>Ruim</v>
      </c>
      <c r="EQ48" s="20" t="str">
        <f>IF(VLOOKUP(BH48,Fundamentus!A:U,12,FALSE)&lt;2,"Subvalorizada",IF(VLOOKUP(BH48,Fundamentus!A:U,12,FALSE)&lt;6,"Muita barata",IF(VLOOKUP(BH48,Fundamentus!A:U,12,FALSE)&lt;6,"Barata",IF(VLOOKUP(BH48,Fundamentus!A:U,12,FALSE)&lt;8,"Atrativa",IF(VLOOKUP(BH48,Fundamentus!A:U,12,FALSE)&gt;8,"Supervalorizada","n/a")))))</f>
        <v>Subvalorizada</v>
      </c>
      <c r="ES48" s="20" t="str">
        <f>IF(VLOOKUP(BH48,Fundamentus!A:U,17,FALSE)&lt;0.1,"Fraco retorno",IF(VLOOKUP(BH48,Fundamentus!A:U,17,FALSE)&gt;0.1,"Bom retorno","n/a"))</f>
        <v>Bom retorno</v>
      </c>
      <c r="ET48" s="20" t="str">
        <f>IF(VLOOKUP(BH48,Fundamentus!A:U,16,FALSE)&lt;0.1,"Ineficiente",IF(VLOOKUP(BH48,Fundamentus!A:U,16,FALSE)&gt;0.1,"Eficiente","n/a"))</f>
        <v>Ineficiente</v>
      </c>
      <c r="EU48" s="41" t="str">
        <f>IF(VLOOKUP(BH48,Fundamentus!A:U,16,FALSE)&lt;0.1,"Oper. Ineficiente",IF(VLOOKUP(BH48,Fundamentus!A:U,16,FALSE)&gt;0.1,"Oper.Eficiente","n/a"))</f>
        <v>Oper. Ineficiente</v>
      </c>
      <c r="EV48" s="42">
        <f>VLOOKUP(BH48,Fundamentus!A:U,14,FALSE)</f>
        <v>0</v>
      </c>
      <c r="EW48" s="20" t="str">
        <f>IF(VLOOKUP(BH48,Fundamentus!A:U,21,FALSE)&lt;0,"Negativo",IF(VLOOKUP(BH48,Fundamentus!A:U,21,FALSE)&lt;0.05,"Fraco",IF(VLOOKUP(BH48,Fundamentus!A:U,21,FALSE)&lt;0.1,"Bom",IF(VLOOKUP(BH48,Fundamentus!A:U,21,FALSE)&gt;0.1,"Muito bom","n/a"))))</f>
        <v>Negativo</v>
      </c>
      <c r="EY48" s="37" t="str">
        <f>IF(VLOOKUP(BH48,Fundamentus!A:U,15,FALSE)&gt;1,"Bom",IF(VLOOKUP(BH48,Fundamentus!A:U,15,FALSE)&lt;1,"Ruim","n/a"))</f>
        <v>Ruim</v>
      </c>
      <c r="EZ48" s="20" t="str">
        <f>IF(VLOOKUP(BH48,Fundamentus!A:U,20,FALSE)&lt;0.5,"Baixa",IF(VLOOKUP(BH48,Fundamentus!A:U,20,FALSE)&lt;1,"Moderada",IF(VLOOKUP(BH48,Fundamentus!A:U,20,FALSE)&lt;2,"Alerta",IF(VLOOKUP(BH48,Fundamentus!A:U,20,FALSE)&gt;2,"Alta","n/a"))))</f>
        <v>Baixa</v>
      </c>
    </row>
    <row r="49" spans="1:156" s="2" customFormat="1" ht="11.25" hidden="1" x14ac:dyDescent="0.2">
      <c r="A49" s="4">
        <v>15.58</v>
      </c>
      <c r="B49" s="4">
        <v>15.26</v>
      </c>
      <c r="C49" s="4">
        <v>14.82</v>
      </c>
      <c r="D49" s="4">
        <v>14.81</v>
      </c>
      <c r="E49" s="4">
        <v>15.49</v>
      </c>
      <c r="F49" s="4">
        <v>16</v>
      </c>
      <c r="G49" s="4">
        <v>15.91</v>
      </c>
      <c r="H49" s="4">
        <v>15.62</v>
      </c>
      <c r="I49" s="4">
        <v>14.41</v>
      </c>
      <c r="J49" s="4">
        <v>14.63</v>
      </c>
      <c r="K49" s="4">
        <v>14.23</v>
      </c>
      <c r="L49" s="4">
        <v>14.25</v>
      </c>
      <c r="M49" s="4">
        <v>14.7</v>
      </c>
      <c r="N49" s="4">
        <v>14.53</v>
      </c>
      <c r="O49" s="4">
        <v>13.16</v>
      </c>
      <c r="P49" s="4">
        <v>12</v>
      </c>
      <c r="Q49" s="4">
        <v>13.19</v>
      </c>
      <c r="R49" s="4">
        <v>12.7</v>
      </c>
      <c r="S49" s="4">
        <v>12.28</v>
      </c>
      <c r="T49" s="4">
        <v>13.79</v>
      </c>
      <c r="U49" s="4">
        <v>13.42</v>
      </c>
      <c r="V49" s="4">
        <v>12.75</v>
      </c>
      <c r="W49" s="4">
        <v>12.92</v>
      </c>
      <c r="X49" s="4">
        <v>13.39</v>
      </c>
      <c r="Y49" s="4">
        <v>13.17</v>
      </c>
      <c r="Z49" s="4">
        <v>13.16</v>
      </c>
      <c r="AA49" s="4">
        <v>12.47</v>
      </c>
      <c r="AB49" s="4">
        <v>12.23</v>
      </c>
      <c r="AC49" s="4">
        <v>11.35</v>
      </c>
      <c r="AD49" s="4">
        <v>11.3</v>
      </c>
      <c r="AE49" s="4">
        <v>10.97</v>
      </c>
      <c r="AF49" s="4">
        <v>12.6</v>
      </c>
      <c r="AG49" s="4">
        <v>13.6</v>
      </c>
      <c r="AH49" s="4">
        <v>13.22</v>
      </c>
      <c r="AI49" s="4">
        <v>13.99</v>
      </c>
      <c r="AJ49" s="4">
        <v>14.46</v>
      </c>
      <c r="AK49" s="4">
        <v>12.77</v>
      </c>
      <c r="AL49" s="4">
        <v>13.8</v>
      </c>
      <c r="AM49" s="4">
        <v>14.19</v>
      </c>
      <c r="AN49" s="4">
        <v>14.9</v>
      </c>
      <c r="AO49" s="4">
        <v>14</v>
      </c>
      <c r="AP49" s="4">
        <v>14.72</v>
      </c>
      <c r="AQ49" s="4">
        <v>15.31</v>
      </c>
      <c r="AR49" s="4">
        <v>15.7</v>
      </c>
      <c r="AS49" s="4">
        <v>15.22</v>
      </c>
      <c r="AT49" s="4">
        <v>15.8</v>
      </c>
      <c r="AU49" s="4">
        <v>14.675000000000001</v>
      </c>
      <c r="AV49" s="4">
        <v>14.48</v>
      </c>
      <c r="AW49" s="4">
        <v>14.7</v>
      </c>
      <c r="AX49" s="4">
        <v>14.16</v>
      </c>
      <c r="AY49" s="12">
        <v>14.27</v>
      </c>
      <c r="AZ49" s="12">
        <v>13.62</v>
      </c>
      <c r="BA49" s="12">
        <v>11.95</v>
      </c>
      <c r="BB49" s="18">
        <v>11.92</v>
      </c>
      <c r="BC49" s="63">
        <v>11.94</v>
      </c>
      <c r="BD49" s="63">
        <v>11.73</v>
      </c>
      <c r="BE49" s="63">
        <v>11.99</v>
      </c>
      <c r="BF49" s="63">
        <v>11.45</v>
      </c>
      <c r="BG49" s="91" cm="1">
        <f t="array" aca="1" ref="BG49" ca="1">_FV(EE49,"Preço")</f>
        <v>10.98</v>
      </c>
      <c r="BH49" s="93" t="s">
        <v>47</v>
      </c>
      <c r="BI49" s="32" cm="1">
        <f t="array" aca="1" ref="BI49" ca="1">_FV(EE49,"Beta")</f>
        <v>-0.36909999999999998</v>
      </c>
      <c r="BJ49" s="96" cm="1">
        <f t="array" aca="1" ref="BJ49" ca="1">_FV(EE49,"Variação (%)",TRUE)</f>
        <v>-8.1300000000000001E-3</v>
      </c>
      <c r="BK49" s="49"/>
      <c r="BL49" s="49"/>
      <c r="BN49" s="32"/>
      <c r="BO49" s="20" cm="1">
        <f t="array" aca="1" ref="BO49" ca="1">_FV(EE49,"Baixo")</f>
        <v>10.98</v>
      </c>
      <c r="BP49" s="20" cm="1">
        <f t="array" aca="1" ref="BP49" ca="1">_FV(EE49,"Alto")</f>
        <v>11.22</v>
      </c>
      <c r="BQ49" s="32"/>
      <c r="BR49" s="74">
        <f ca="1">SQRT(22.5*(BG49/VLOOKUP(BH49,Fundamentus!A:U,3,FALSE))*(BG49/VLOOKUP(BH49,Fundamentus!A:U,4,FALSE)))</f>
        <v>4.1889280470762902</v>
      </c>
      <c r="BT49" s="73">
        <f t="shared" ca="1" si="0"/>
        <v>-4.1048034934497719E-2</v>
      </c>
      <c r="BU49" s="36">
        <f t="shared" si="1"/>
        <v>-0.23042362002567393</v>
      </c>
      <c r="BV49" s="8"/>
      <c r="BW49" s="72">
        <f t="shared" si="2"/>
        <v>10.97</v>
      </c>
      <c r="BX49" s="72">
        <f t="shared" si="3"/>
        <v>13.71818965517242</v>
      </c>
      <c r="BY49" s="72">
        <f t="shared" si="4"/>
        <v>16</v>
      </c>
      <c r="BZ49" s="17"/>
      <c r="CA49" s="17"/>
      <c r="CB49" s="43">
        <f t="shared" si="5"/>
        <v>11.059353766672299</v>
      </c>
      <c r="CC49" s="18">
        <f t="shared" si="6"/>
        <v>11.484882849109681</v>
      </c>
      <c r="CD49" s="43">
        <f t="shared" si="7"/>
        <v>11.910411931547063</v>
      </c>
      <c r="CE49" s="98">
        <f t="shared" ca="1" si="8"/>
        <v>-1.1864825929587912</v>
      </c>
      <c r="CF49" s="17"/>
      <c r="CG49" s="20">
        <f t="shared" si="9"/>
        <v>4.5833333333333339</v>
      </c>
      <c r="CH49" s="20">
        <f t="shared" si="10"/>
        <v>7.7766666666666673</v>
      </c>
      <c r="CI49" s="20">
        <f t="shared" si="11"/>
        <v>9.6133333333333333</v>
      </c>
      <c r="CJ49" s="49">
        <f t="shared" si="12"/>
        <v>12.806666666666667</v>
      </c>
      <c r="CK49" s="20">
        <f t="shared" si="13"/>
        <v>14.643333333333333</v>
      </c>
      <c r="CL49" s="20">
        <f t="shared" si="14"/>
        <v>17.836666666666666</v>
      </c>
      <c r="CM49" s="20">
        <f t="shared" si="15"/>
        <v>19.673333333333332</v>
      </c>
      <c r="CN49" s="2" cm="1">
        <f t="array" aca="1" ref="CN49" ca="1">MAX(_xlfn._xlws.FILTER(CG49:CM49,CG49:CM49&lt;BG49))</f>
        <v>9.6133333333333333</v>
      </c>
      <c r="CO49" s="2" cm="1">
        <f t="array" aca="1" ref="CO49" ca="1">MIN(_xlfn._xlws.FILTER($CG49:$CM49,$CG49:$CM49&gt;BG49))</f>
        <v>12.806666666666667</v>
      </c>
      <c r="CP49" s="19">
        <f t="shared" ca="1" si="65"/>
        <v>0.33217753120665749</v>
      </c>
      <c r="CQ49" s="23">
        <f t="shared" ca="1" si="66"/>
        <v>-0.16608876560332875</v>
      </c>
      <c r="CR49" s="23">
        <f t="shared" ca="1" si="67"/>
        <v>-0.1107258437355525</v>
      </c>
      <c r="CS49" s="23">
        <f t="shared" ca="1" si="68"/>
        <v>-6.6435506241331502E-2</v>
      </c>
      <c r="CT49" s="23">
        <f t="shared" ca="1" si="69"/>
        <v>-3.6908614578517497E-2</v>
      </c>
      <c r="CU49" s="23">
        <f t="shared" ca="1" si="70"/>
        <v>-1.9539854776862205E-2</v>
      </c>
      <c r="CV49" s="23">
        <f t="shared" ca="1" si="71"/>
        <v>-1.0065985794141136E-2</v>
      </c>
      <c r="CW49" s="23">
        <f t="shared" ca="1" si="72"/>
        <v>-5.1104235570254997E-3</v>
      </c>
      <c r="CX49" s="24">
        <f t="shared" ca="1" si="73"/>
        <v>5.1104235570254997E-3</v>
      </c>
      <c r="CY49" s="24">
        <f t="shared" ca="1" si="74"/>
        <v>1.0065985794141136E-2</v>
      </c>
      <c r="CZ49" s="24">
        <f t="shared" ca="1" si="75"/>
        <v>1.9539854776862205E-2</v>
      </c>
      <c r="DA49" s="24">
        <f t="shared" ca="1" si="76"/>
        <v>3.6908614578517497E-2</v>
      </c>
      <c r="DB49" s="24">
        <f t="shared" ca="1" si="77"/>
        <v>6.6435506241331502E-2</v>
      </c>
      <c r="DC49" s="24">
        <f t="shared" ca="1" si="78"/>
        <v>0.1107258437355525</v>
      </c>
      <c r="DD49" s="24">
        <f t="shared" ca="1" si="79"/>
        <v>0.16608876560332875</v>
      </c>
      <c r="DF49" s="19" cm="1">
        <f t="array" aca="1" ref="DF49" ca="1">MAX(_xlfn._xlws.FILTER(CQ49:DD49,CQ49:DD49&lt;BJ49))</f>
        <v>-1.0065985794141136E-2</v>
      </c>
      <c r="DG49" s="19" cm="1">
        <f t="array" aca="1" ref="DG49" ca="1">MIN(_xlfn._xlws.FILTER(CQ49:DD49,CQ49:DD49&gt;BJ49))</f>
        <v>-5.1104235570254997E-3</v>
      </c>
      <c r="DH49" s="2" cm="1">
        <f t="array" aca="1" ref="DH49" ca="1">_FV(EE49,"Fechamento anterior",TRUE)</f>
        <v>11.07</v>
      </c>
      <c r="DI49" s="36">
        <f t="shared" ca="1" si="22"/>
        <v>0.39065284637710501</v>
      </c>
      <c r="DJ49" s="18">
        <f t="shared" ca="1" si="80"/>
        <v>10.958569537258859</v>
      </c>
      <c r="DK49" s="18">
        <f t="shared" ca="1" si="81"/>
        <v>11.013427611223728</v>
      </c>
      <c r="DL49" s="9"/>
      <c r="DM49" s="9"/>
      <c r="DN49" s="9"/>
      <c r="DO49" s="9"/>
      <c r="DP49" s="79">
        <v>1.835587354631096E-2</v>
      </c>
      <c r="DQ49" s="79">
        <v>1.001229466162416E-2</v>
      </c>
      <c r="DR49" s="79">
        <v>5.2372002845418692E-3</v>
      </c>
      <c r="DS49" s="79">
        <f t="shared" ca="1" si="25"/>
        <v>4.9555622371156363E-3</v>
      </c>
      <c r="DT49" s="47"/>
      <c r="DU49" s="43">
        <f t="shared" si="26"/>
        <v>0.21276454121869107</v>
      </c>
      <c r="DV49" s="83">
        <f t="shared" ca="1" si="27"/>
        <v>5.6999999999999995E-2</v>
      </c>
      <c r="DW49" s="83">
        <f t="shared" ca="1" si="28"/>
        <v>0.44390000000000007</v>
      </c>
      <c r="DX49" s="83">
        <f t="shared" ca="1" si="29"/>
        <v>-0.38690000000000008</v>
      </c>
      <c r="DY49" s="67"/>
      <c r="DZ49" s="67"/>
      <c r="EA49" s="85"/>
      <c r="EB49" s="44">
        <v>23100</v>
      </c>
      <c r="EC49" s="44" cm="1">
        <f t="array" aca="1" ref="EC49" ca="1">_FV(EE49,"Volume")</f>
        <v>16600</v>
      </c>
      <c r="EE49" s="2" t="e" vm="49">
        <v>#VALUE!</v>
      </c>
      <c r="EG49" s="10" cm="1">
        <f t="array" aca="1" ref="EG49" ca="1">_FV(EE49,"Ações em circulação",TRUE)</f>
        <v>96226960</v>
      </c>
      <c r="EH49" s="21">
        <f>VLOOKUP(BH49,Fundamentus!A:U,5,FALSE)</f>
        <v>14.79</v>
      </c>
      <c r="EI49" s="2">
        <f t="shared" ca="1" si="30"/>
        <v>71438270.507099405</v>
      </c>
      <c r="EJ49" s="20">
        <v>10690203.67153482</v>
      </c>
      <c r="EK49" s="20">
        <f t="shared" ca="1" si="31"/>
        <v>10251391.817768764</v>
      </c>
      <c r="EM49" s="40" t="str">
        <f>IF(VLOOKUP(BH49,Fundamentus!A:U,3,FALSE)&lt;15,"Bom",IF(VLOOKUP(BH49,Fundamentus!A:U,3,FALSE)&gt;15,"Ruim","n/a"))</f>
        <v>Ruim</v>
      </c>
      <c r="EN49" s="36" t="str">
        <f>IF(VLOOKUP(BH49,Fundamentus!A:U,4,FALSE)&lt;1,"Baixo",IF(VLOOKUP(BH49,Fundamentus!A:U,4,FALSE)&lt;1.5,"Moderado",IF(VLOOKUP(BH49,Fundamentus!A:U,4,FALSE)&gt;1.5,"Alto","n/a")))</f>
        <v>n/a</v>
      </c>
      <c r="EO49" s="20" t="str">
        <f>IF(VLOOKUP(BH49,Fundamentus!A:U,8,FALSE)&lt;0,"Risco elevado",IF(VLOOKUP(BH49,Fundamentus!A:U,8,FALSE)&lt;1,"Saudável",IF(VLOOKUP(BH49,Fundamentus!A:U,8,FALSE)&lt;3,"Estável",IF(VLOOKUP(BH49,Fundamentus!A:U,8,FALSE)&gt;3,"Alerta","n/a"))))</f>
        <v>Risco elevado</v>
      </c>
      <c r="EP49" s="36" t="str">
        <f t="shared" si="32"/>
        <v>Bom</v>
      </c>
      <c r="EQ49" s="20" t="str">
        <f>IF(VLOOKUP(BH49,Fundamentus!A:U,12,FALSE)&lt;2,"Subvalorizada",IF(VLOOKUP(BH49,Fundamentus!A:U,12,FALSE)&lt;6,"Muita barata",IF(VLOOKUP(BH49,Fundamentus!A:U,12,FALSE)&lt;6,"Barata",IF(VLOOKUP(BH49,Fundamentus!A:U,12,FALSE)&lt;8,"Atrativa",IF(VLOOKUP(BH49,Fundamentus!A:U,12,FALSE)&gt;8,"Supervalorizada","n/a")))))</f>
        <v>Supervalorizada</v>
      </c>
      <c r="ES49" s="20" t="str">
        <f>IF(VLOOKUP(BH49,Fundamentus!A:U,17,FALSE)&lt;0.1,"Fraco retorno",IF(VLOOKUP(BH49,Fundamentus!A:U,17,FALSE)&gt;0.1,"Bom retorno","n/a"))</f>
        <v>Fraco retorno</v>
      </c>
      <c r="ET49" s="20" t="str">
        <f>IF(VLOOKUP(BH49,Fundamentus!A:U,16,FALSE)&lt;0.1,"Ineficiente",IF(VLOOKUP(BH49,Fundamentus!A:U,16,FALSE)&gt;0.1,"Eficiente","n/a"))</f>
        <v>Ineficiente</v>
      </c>
      <c r="EU49" s="41" t="str">
        <f>IF(VLOOKUP(BH49,Fundamentus!A:U,16,FALSE)&lt;0.1,"Oper. Ineficiente",IF(VLOOKUP(BH49,Fundamentus!A:U,16,FALSE)&gt;0.1,"Oper.Eficiente","n/a"))</f>
        <v>Oper. Ineficiente</v>
      </c>
      <c r="EV49" s="42">
        <f>VLOOKUP(BH49,Fundamentus!A:U,14,FALSE)</f>
        <v>0.14349999999999999</v>
      </c>
      <c r="EW49" s="20" t="str">
        <f>IF(VLOOKUP(BH49,Fundamentus!A:U,21,FALSE)&lt;0,"Negativo",IF(VLOOKUP(BH49,Fundamentus!A:U,21,FALSE)&lt;0.05,"Fraco",IF(VLOOKUP(BH49,Fundamentus!A:U,21,FALSE)&lt;0.1,"Bom",IF(VLOOKUP(BH49,Fundamentus!A:U,21,FALSE)&gt;0.1,"Muito bom","n/a"))))</f>
        <v>Negativo</v>
      </c>
      <c r="EY49" s="37" t="str">
        <f>IF(VLOOKUP(BH49,Fundamentus!A:U,15,FALSE)&gt;1,"Bom",IF(VLOOKUP(BH49,Fundamentus!A:U,15,FALSE)&lt;1,"Ruim","n/a"))</f>
        <v>Ruim</v>
      </c>
      <c r="EZ49" s="20" t="str">
        <f>IF(VLOOKUP(BH49,Fundamentus!A:U,20,FALSE)&lt;0.5,"Baixa",IF(VLOOKUP(BH49,Fundamentus!A:U,20,FALSE)&lt;1,"Moderada",IF(VLOOKUP(BH49,Fundamentus!A:U,20,FALSE)&lt;2,"Alerta",IF(VLOOKUP(BH49,Fundamentus!A:U,20,FALSE)&gt;2,"Alta","n/a"))))</f>
        <v>Baixa</v>
      </c>
    </row>
    <row r="50" spans="1:156" s="2" customFormat="1" ht="11.25" hidden="1" x14ac:dyDescent="0.2">
      <c r="A50" s="4">
        <v>19.66</v>
      </c>
      <c r="B50" s="4">
        <v>19.350000000000001</v>
      </c>
      <c r="C50" s="4">
        <v>19.55</v>
      </c>
      <c r="D50" s="4">
        <v>18.690000000000001</v>
      </c>
      <c r="E50" s="4">
        <v>18.04</v>
      </c>
      <c r="F50" s="4">
        <v>16.97</v>
      </c>
      <c r="G50" s="4">
        <v>17</v>
      </c>
      <c r="H50" s="4">
        <v>17.739999999999998</v>
      </c>
      <c r="I50" s="4">
        <v>18.399999999999999</v>
      </c>
      <c r="J50" s="4">
        <v>18</v>
      </c>
      <c r="K50" s="4">
        <v>18.27</v>
      </c>
      <c r="L50" s="4">
        <v>18.79</v>
      </c>
      <c r="M50" s="4">
        <v>18.32</v>
      </c>
      <c r="N50" s="4">
        <v>17.329999999999998</v>
      </c>
      <c r="O50" s="4">
        <v>17.510000000000002</v>
      </c>
      <c r="P50" s="4">
        <v>17.21</v>
      </c>
      <c r="Q50" s="4">
        <v>18.28</v>
      </c>
      <c r="R50" s="4">
        <v>18.3</v>
      </c>
      <c r="S50" s="4">
        <v>18.170000000000002</v>
      </c>
      <c r="T50" s="4">
        <v>18.8</v>
      </c>
      <c r="U50" s="4">
        <v>18.05</v>
      </c>
      <c r="V50" s="4">
        <v>19</v>
      </c>
      <c r="W50" s="4">
        <v>19.18</v>
      </c>
      <c r="X50" s="4">
        <v>18.43</v>
      </c>
      <c r="Y50" s="4">
        <v>18.09</v>
      </c>
      <c r="Z50" s="4">
        <v>17.989999999999998</v>
      </c>
      <c r="AA50" s="4">
        <v>18.2</v>
      </c>
      <c r="AB50" s="4">
        <v>20.41</v>
      </c>
      <c r="AC50" s="4">
        <v>20.03</v>
      </c>
      <c r="AD50" s="4">
        <v>19.79</v>
      </c>
      <c r="AE50" s="4">
        <v>20.3</v>
      </c>
      <c r="AF50" s="4">
        <v>20.47</v>
      </c>
      <c r="AG50" s="4">
        <v>20</v>
      </c>
      <c r="AH50" s="4">
        <v>18.760000000000002</v>
      </c>
      <c r="AI50" s="4">
        <v>18.34</v>
      </c>
      <c r="AJ50" s="4">
        <v>17.32</v>
      </c>
      <c r="AK50" s="4">
        <v>16.8</v>
      </c>
      <c r="AL50" s="4">
        <v>17.37</v>
      </c>
      <c r="AM50" s="4">
        <v>17.559999999999999</v>
      </c>
      <c r="AN50" s="4">
        <v>17.22</v>
      </c>
      <c r="AO50" s="4">
        <v>16.7</v>
      </c>
      <c r="AP50" s="4">
        <v>17.579999999999998</v>
      </c>
      <c r="AQ50" s="4">
        <v>16.22</v>
      </c>
      <c r="AR50" s="4">
        <v>16.66</v>
      </c>
      <c r="AS50" s="4">
        <v>16.96</v>
      </c>
      <c r="AT50" s="4">
        <v>16.91</v>
      </c>
      <c r="AU50" s="4">
        <v>17.135000000000002</v>
      </c>
      <c r="AV50" s="4">
        <v>16.899999999999999</v>
      </c>
      <c r="AW50" s="4">
        <v>15.15</v>
      </c>
      <c r="AX50" s="4">
        <v>14.68</v>
      </c>
      <c r="AY50" s="12">
        <v>14.95</v>
      </c>
      <c r="AZ50" s="12">
        <v>15.33</v>
      </c>
      <c r="BA50" s="12">
        <v>14.99</v>
      </c>
      <c r="BB50" s="18">
        <v>14.9</v>
      </c>
      <c r="BC50" s="63">
        <v>15.71</v>
      </c>
      <c r="BD50" s="63">
        <v>15.45</v>
      </c>
      <c r="BE50" s="63">
        <v>15.25</v>
      </c>
      <c r="BF50" s="63">
        <v>16.690000000000001</v>
      </c>
      <c r="BG50" s="91" cm="1">
        <f t="array" aca="1" ref="BG50" ca="1">_FV(EE50,"Preço")</f>
        <v>16.760000000000002</v>
      </c>
      <c r="BH50" s="93" t="s">
        <v>48</v>
      </c>
      <c r="BI50" s="32" cm="1">
        <f t="array" aca="1" ref="BI50" ca="1">_FV(EE50,"Beta")</f>
        <v>0.65139999999999998</v>
      </c>
      <c r="BJ50" s="96" cm="1">
        <f t="array" aca="1" ref="BJ50" ca="1">_FV(EE50,"Variação (%)",TRUE)</f>
        <v>-9.4559999999999991E-3</v>
      </c>
      <c r="BK50" s="49"/>
      <c r="BL50" s="49"/>
      <c r="BN50" s="32"/>
      <c r="BO50" s="20" cm="1">
        <f t="array" aca="1" ref="BO50" ca="1">_FV(EE50,"Baixo")</f>
        <v>16.649999999999999</v>
      </c>
      <c r="BP50" s="20" cm="1">
        <f t="array" aca="1" ref="BP50" ca="1">_FV(EE50,"Alto")</f>
        <v>16.940000000000001</v>
      </c>
      <c r="BQ50" s="32"/>
      <c r="BR50" s="74">
        <f ca="1">SQRT(22.5*(BG50/VLOOKUP(BH50,Fundamentus!A:U,3,FALSE))*(BG50/VLOOKUP(BH50,Fundamentus!A:U,4,FALSE)))</f>
        <v>31.902114781566318</v>
      </c>
      <c r="BT50" s="73">
        <f t="shared" ca="1" si="0"/>
        <v>4.1941282204913293E-3</v>
      </c>
      <c r="BU50" s="36">
        <f t="shared" si="1"/>
        <v>-0.22431332655137334</v>
      </c>
      <c r="BV50" s="8"/>
      <c r="BW50" s="72">
        <f t="shared" si="2"/>
        <v>14.68</v>
      </c>
      <c r="BX50" s="72">
        <f t="shared" si="3"/>
        <v>17.687155172413792</v>
      </c>
      <c r="BY50" s="72">
        <f t="shared" si="4"/>
        <v>20.47</v>
      </c>
      <c r="BZ50" s="17"/>
      <c r="CA50" s="17"/>
      <c r="CB50" s="43">
        <f t="shared" si="5"/>
        <v>15.311702509894962</v>
      </c>
      <c r="CC50" s="18">
        <f t="shared" si="6"/>
        <v>16.417460168697289</v>
      </c>
      <c r="CD50" s="43">
        <f t="shared" si="7"/>
        <v>17.523217827499614</v>
      </c>
      <c r="CE50" s="98">
        <f t="shared" ca="1" si="8"/>
        <v>0.30977839364343684</v>
      </c>
      <c r="CF50" s="17"/>
      <c r="CG50" s="20">
        <f t="shared" si="9"/>
        <v>8.3000000000000043</v>
      </c>
      <c r="CH50" s="20">
        <f t="shared" si="10"/>
        <v>11.490000000000002</v>
      </c>
      <c r="CI50" s="20">
        <f t="shared" si="11"/>
        <v>14.090000000000003</v>
      </c>
      <c r="CJ50" s="49">
        <f t="shared" si="12"/>
        <v>17.28</v>
      </c>
      <c r="CK50" s="20">
        <f t="shared" si="13"/>
        <v>19.880000000000003</v>
      </c>
      <c r="CL50" s="20">
        <f t="shared" si="14"/>
        <v>23.07</v>
      </c>
      <c r="CM50" s="20">
        <f t="shared" si="15"/>
        <v>25.67</v>
      </c>
      <c r="CN50" s="2" cm="1">
        <f t="array" aca="1" ref="CN50" ca="1">MAX(_xlfn._xlws.FILTER(CG50:CM50,CG50:CM50&lt;BG50))</f>
        <v>14.090000000000003</v>
      </c>
      <c r="CO50" s="2" cm="1">
        <f t="array" aca="1" ref="CO50" ca="1">MIN(_xlfn._xlws.FILTER($CG50:$CM50,$CG50:$CM50&gt;BG50))</f>
        <v>17.28</v>
      </c>
      <c r="CP50" s="19">
        <f t="shared" ref="CP50:CP81" ca="1" si="82">(CO50/CN50)-1</f>
        <v>0.22640170333569887</v>
      </c>
      <c r="CQ50" s="23">
        <f t="shared" ref="CQ50:CQ81" ca="1" si="83">-$CP50/2</f>
        <v>-0.11320085166784943</v>
      </c>
      <c r="CR50" s="23">
        <f t="shared" ref="CR50:CR81" ca="1" si="84">-$CP50/3</f>
        <v>-7.5467234445232956E-2</v>
      </c>
      <c r="CS50" s="23">
        <f t="shared" ref="CS50:CS81" ca="1" si="85">-$CP50/5</f>
        <v>-4.5280340667139776E-2</v>
      </c>
      <c r="CT50" s="23">
        <f t="shared" ref="CT50:CT81" ca="1" si="86">-$CP50/9</f>
        <v>-2.5155744815077652E-2</v>
      </c>
      <c r="CU50" s="23">
        <f t="shared" ref="CU50:CU81" ca="1" si="87">-$CP50/17</f>
        <v>-1.3317747255041109E-2</v>
      </c>
      <c r="CV50" s="23">
        <f t="shared" ref="CV50:CV81" ca="1" si="88">-$CP50/33</f>
        <v>-6.8606576768393598E-3</v>
      </c>
      <c r="CW50" s="23">
        <f t="shared" ref="CW50:CW81" ca="1" si="89">-$CP50/65</f>
        <v>-3.4831031282415211E-3</v>
      </c>
      <c r="CX50" s="24">
        <f t="shared" ref="CX50:CX81" ca="1" si="90">-$CP50/65*-1</f>
        <v>3.4831031282415211E-3</v>
      </c>
      <c r="CY50" s="24">
        <f t="shared" ref="CY50:CY81" ca="1" si="91">-$CP50/33*-1</f>
        <v>6.8606576768393598E-3</v>
      </c>
      <c r="CZ50" s="24">
        <f t="shared" ref="CZ50:CZ81" ca="1" si="92">-$CP50/17*-1</f>
        <v>1.3317747255041109E-2</v>
      </c>
      <c r="DA50" s="24">
        <f t="shared" ref="DA50:DA81" ca="1" si="93">-$CP50/9*-1</f>
        <v>2.5155744815077652E-2</v>
      </c>
      <c r="DB50" s="24">
        <f t="shared" ref="DB50:DB81" ca="1" si="94">-$CP50/5*-1</f>
        <v>4.5280340667139776E-2</v>
      </c>
      <c r="DC50" s="24">
        <f t="shared" ref="DC50:DC81" ca="1" si="95">-$CP50/3*-1</f>
        <v>7.5467234445232956E-2</v>
      </c>
      <c r="DD50" s="24">
        <f t="shared" ref="DD50:DD81" ca="1" si="96">-$CP50/2*-1</f>
        <v>0.11320085166784943</v>
      </c>
      <c r="DF50" s="19" cm="1">
        <f t="array" aca="1" ref="DF50" ca="1">MAX(_xlfn._xlws.FILTER(CQ50:DD50,CQ50:DD50&lt;BJ50))</f>
        <v>-1.3317747255041109E-2</v>
      </c>
      <c r="DG50" s="19" cm="1">
        <f t="array" aca="1" ref="DG50" ca="1">MIN(_xlfn._xlws.FILTER(CQ50:DD50,CQ50:DD50&gt;BJ50))</f>
        <v>-6.8606576768393598E-3</v>
      </c>
      <c r="DH50" s="2" cm="1">
        <f t="array" aca="1" ref="DH50" ca="1">_FV(EE50,"Fechamento anterior",TRUE)</f>
        <v>16.920000000000002</v>
      </c>
      <c r="DI50" s="36">
        <f t="shared" ca="1" si="22"/>
        <v>0.59802213255075309</v>
      </c>
      <c r="DJ50" s="18">
        <f t="shared" ref="DJ50:DJ81" ca="1" si="97">DH50+(DH50*DF50)</f>
        <v>16.694663716444705</v>
      </c>
      <c r="DK50" s="18">
        <f t="shared" ref="DK50:DK81" ca="1" si="98">DH50+(DH50*DG50)</f>
        <v>16.803917672107879</v>
      </c>
      <c r="DL50" s="9"/>
      <c r="DM50" s="9"/>
      <c r="DN50" s="9"/>
      <c r="DO50" s="9"/>
      <c r="DP50" s="79">
        <v>8.2042140865670275E-3</v>
      </c>
      <c r="DQ50" s="79">
        <v>1.5041059158706214E-2</v>
      </c>
      <c r="DR50" s="79">
        <v>4.2123402422095642E-3</v>
      </c>
      <c r="DS50" s="79">
        <f t="shared" ca="1" si="25"/>
        <v>6.4570895782017496E-3</v>
      </c>
      <c r="DT50" s="47"/>
      <c r="DU50" s="43">
        <f t="shared" si="26"/>
        <v>0.5528788294011634</v>
      </c>
      <c r="DV50" s="83">
        <f t="shared" ca="1" si="27"/>
        <v>1.0774999999999999</v>
      </c>
      <c r="DW50" s="83">
        <f t="shared" ca="1" si="28"/>
        <v>1.597</v>
      </c>
      <c r="DX50" s="83">
        <f t="shared" ca="1" si="29"/>
        <v>-0.51950000000000007</v>
      </c>
      <c r="DY50" s="67"/>
      <c r="DZ50" s="67"/>
      <c r="EA50" s="85"/>
      <c r="EB50" s="44">
        <v>13957800</v>
      </c>
      <c r="EC50" s="44" cm="1">
        <f t="array" aca="1" ref="EC50" ca="1">_FV(EE50,"Volume")</f>
        <v>10232000</v>
      </c>
      <c r="EE50" s="2" t="e" vm="50">
        <v>#VALUE!</v>
      </c>
      <c r="EG50" s="10" cm="1">
        <f t="array" aca="1" ref="EG50" ca="1">_FV(EE50,"Ações em circulação",TRUE)</f>
        <v>2028195000</v>
      </c>
      <c r="EH50" s="21">
        <f>VLOOKUP(BH50,Fundamentus!A:U,5,FALSE)</f>
        <v>0.497</v>
      </c>
      <c r="EI50" s="2">
        <f t="shared" ca="1" si="30"/>
        <v>68395469215.291756</v>
      </c>
      <c r="EJ50" s="20">
        <v>3303325685.4627771</v>
      </c>
      <c r="EK50" s="20">
        <f t="shared" ca="1" si="31"/>
        <v>3317180256.9416504</v>
      </c>
      <c r="EM50" s="40" t="str">
        <f>IF(VLOOKUP(BH50,Fundamentus!A:U,3,FALSE)&lt;15,"Bom",IF(VLOOKUP(BH50,Fundamentus!A:U,3,FALSE)&gt;15,"Ruim","n/a"))</f>
        <v>Bom</v>
      </c>
      <c r="EN50" s="36" t="str">
        <f>IF(VLOOKUP(BH50,Fundamentus!A:U,4,FALSE)&lt;1,"Baixo",IF(VLOOKUP(BH50,Fundamentus!A:U,4,FALSE)&lt;1.5,"Moderado",IF(VLOOKUP(BH50,Fundamentus!A:U,4,FALSE)&gt;1.5,"Alto","n/a")))</f>
        <v>Baixo</v>
      </c>
      <c r="EO50" s="20" t="str">
        <f>IF(VLOOKUP(BH50,Fundamentus!A:U,8,FALSE)&lt;0,"Risco elevado",IF(VLOOKUP(BH50,Fundamentus!A:U,8,FALSE)&lt;1,"Saudável",IF(VLOOKUP(BH50,Fundamentus!A:U,8,FALSE)&lt;3,"Estável",IF(VLOOKUP(BH50,Fundamentus!A:U,8,FALSE)&gt;3,"Alerta","n/a"))))</f>
        <v>Estável</v>
      </c>
      <c r="EP50" s="36" t="str">
        <f t="shared" si="32"/>
        <v>Ruim</v>
      </c>
      <c r="EQ50" s="20" t="str">
        <f>IF(VLOOKUP(BH50,Fundamentus!A:U,12,FALSE)&lt;2,"Subvalorizada",IF(VLOOKUP(BH50,Fundamentus!A:U,12,FALSE)&lt;6,"Muita barata",IF(VLOOKUP(BH50,Fundamentus!A:U,12,FALSE)&lt;6,"Barata",IF(VLOOKUP(BH50,Fundamentus!A:U,12,FALSE)&lt;8,"Atrativa",IF(VLOOKUP(BH50,Fundamentus!A:U,12,FALSE)&gt;8,"Supervalorizada","n/a")))))</f>
        <v>Muita barata</v>
      </c>
      <c r="ES50" s="20" t="str">
        <f>IF(VLOOKUP(BH50,Fundamentus!A:U,17,FALSE)&lt;0.1,"Fraco retorno",IF(VLOOKUP(BH50,Fundamentus!A:U,17,FALSE)&gt;0.1,"Bom retorno","n/a"))</f>
        <v>Fraco retorno</v>
      </c>
      <c r="ET50" s="20" t="str">
        <f>IF(VLOOKUP(BH50,Fundamentus!A:U,16,FALSE)&lt;0.1,"Ineficiente",IF(VLOOKUP(BH50,Fundamentus!A:U,16,FALSE)&gt;0.1,"Eficiente","n/a"))</f>
        <v>Ineficiente</v>
      </c>
      <c r="EU50" s="41" t="str">
        <f>IF(VLOOKUP(BH50,Fundamentus!A:U,16,FALSE)&lt;0.1,"Oper. Ineficiente",IF(VLOOKUP(BH50,Fundamentus!A:U,16,FALSE)&gt;0.1,"Oper.Eficiente","n/a"))</f>
        <v>Oper. Ineficiente</v>
      </c>
      <c r="EV50" s="42">
        <f>VLOOKUP(BH50,Fundamentus!A:U,14,FALSE)</f>
        <v>4.8500000000000001E-2</v>
      </c>
      <c r="EW50" s="20" t="str">
        <f>IF(VLOOKUP(BH50,Fundamentus!A:U,21,FALSE)&lt;0,"Negativo",IF(VLOOKUP(BH50,Fundamentus!A:U,21,FALSE)&lt;0.05,"Fraco",IF(VLOOKUP(BH50,Fundamentus!A:U,21,FALSE)&lt;0.1,"Bom",IF(VLOOKUP(BH50,Fundamentus!A:U,21,FALSE)&gt;0.1,"Muito bom","n/a"))))</f>
        <v>Fraco</v>
      </c>
      <c r="EY50" s="37" t="str">
        <f>IF(VLOOKUP(BH50,Fundamentus!A:U,15,FALSE)&gt;1,"Bom",IF(VLOOKUP(BH50,Fundamentus!A:U,15,FALSE)&lt;1,"Ruim","n/a"))</f>
        <v>Bom</v>
      </c>
      <c r="EZ50" s="20" t="str">
        <f>IF(VLOOKUP(BH50,Fundamentus!A:U,20,FALSE)&lt;0.5,"Baixa",IF(VLOOKUP(BH50,Fundamentus!A:U,20,FALSE)&lt;1,"Moderada",IF(VLOOKUP(BH50,Fundamentus!A:U,20,FALSE)&lt;2,"Alerta",IF(VLOOKUP(BH50,Fundamentus!A:U,20,FALSE)&gt;2,"Alta","n/a"))))</f>
        <v>Baixa</v>
      </c>
    </row>
    <row r="51" spans="1:156" s="5" customFormat="1" ht="11.25" hidden="1" x14ac:dyDescent="0.2">
      <c r="A51" s="4">
        <v>9.82</v>
      </c>
      <c r="B51" s="4">
        <v>9.93</v>
      </c>
      <c r="C51" s="4">
        <v>10.26</v>
      </c>
      <c r="D51" s="4">
        <v>9.9700000000000006</v>
      </c>
      <c r="E51" s="4">
        <v>9.7100000000000009</v>
      </c>
      <c r="F51" s="4">
        <v>9.6999999999999993</v>
      </c>
      <c r="G51" s="4">
        <v>9.57</v>
      </c>
      <c r="H51" s="4">
        <v>9.68</v>
      </c>
      <c r="I51" s="4">
        <v>9.7799999999999994</v>
      </c>
      <c r="J51" s="4">
        <v>9.9499999999999993</v>
      </c>
      <c r="K51" s="4">
        <v>10.210000000000001</v>
      </c>
      <c r="L51" s="4">
        <v>10.36</v>
      </c>
      <c r="M51" s="4">
        <v>10.29</v>
      </c>
      <c r="N51" s="4">
        <v>9.84</v>
      </c>
      <c r="O51" s="4">
        <v>10.35</v>
      </c>
      <c r="P51" s="4">
        <v>10.91</v>
      </c>
      <c r="Q51" s="4">
        <v>10.96</v>
      </c>
      <c r="R51" s="4">
        <v>10.96</v>
      </c>
      <c r="S51" s="4">
        <v>11.12</v>
      </c>
      <c r="T51" s="4">
        <v>11.2</v>
      </c>
      <c r="U51" s="4">
        <v>10.97</v>
      </c>
      <c r="V51" s="4">
        <v>11.15</v>
      </c>
      <c r="W51" s="4">
        <v>10.62</v>
      </c>
      <c r="X51" s="4">
        <v>10.47</v>
      </c>
      <c r="Y51" s="4">
        <v>10.54</v>
      </c>
      <c r="Z51" s="4">
        <v>10.65</v>
      </c>
      <c r="AA51" s="4">
        <v>10.51</v>
      </c>
      <c r="AB51" s="4">
        <v>10.69</v>
      </c>
      <c r="AC51" s="4">
        <v>10.42</v>
      </c>
      <c r="AD51" s="4">
        <v>10.27</v>
      </c>
      <c r="AE51" s="4">
        <v>9.75</v>
      </c>
      <c r="AF51" s="4">
        <v>9.27</v>
      </c>
      <c r="AG51" s="4">
        <v>9.17</v>
      </c>
      <c r="AH51" s="4">
        <v>8.8000000000000007</v>
      </c>
      <c r="AI51" s="4">
        <v>8.83</v>
      </c>
      <c r="AJ51" s="4">
        <v>8.5299999999999994</v>
      </c>
      <c r="AK51" s="4">
        <v>8.66</v>
      </c>
      <c r="AL51" s="4">
        <v>9.0500000000000007</v>
      </c>
      <c r="AM51" s="4">
        <v>9.15</v>
      </c>
      <c r="AN51" s="4">
        <v>9.5299999999999994</v>
      </c>
      <c r="AO51" s="4">
        <v>9.52</v>
      </c>
      <c r="AP51" s="4">
        <v>9.81</v>
      </c>
      <c r="AQ51" s="4">
        <v>9.08</v>
      </c>
      <c r="AR51" s="4">
        <v>8.7899999999999991</v>
      </c>
      <c r="AS51" s="4">
        <v>8.9600000000000009</v>
      </c>
      <c r="AT51" s="4">
        <v>9.26</v>
      </c>
      <c r="AU51" s="4">
        <v>9.5799999999999983</v>
      </c>
      <c r="AV51" s="4">
        <v>9.6199999999999992</v>
      </c>
      <c r="AW51" s="4">
        <v>9.34</v>
      </c>
      <c r="AX51" s="4">
        <v>9.65</v>
      </c>
      <c r="AY51" s="12">
        <v>9.9499999999999993</v>
      </c>
      <c r="AZ51" s="12">
        <v>10.57</v>
      </c>
      <c r="BA51" s="12">
        <v>10.7</v>
      </c>
      <c r="BB51" s="18">
        <v>10.6</v>
      </c>
      <c r="BC51" s="63">
        <v>11.14</v>
      </c>
      <c r="BD51" s="63">
        <v>11.14</v>
      </c>
      <c r="BE51" s="63">
        <v>11.07</v>
      </c>
      <c r="BF51" s="63">
        <v>10.81</v>
      </c>
      <c r="BG51" s="91" cm="1">
        <f t="array" aca="1" ref="BG51" ca="1">_FV(EE51,"Preço")</f>
        <v>10.71</v>
      </c>
      <c r="BH51" s="93" t="s">
        <v>49</v>
      </c>
      <c r="BI51" s="32" cm="1">
        <f t="array" aca="1" ref="BI51" ca="1">_FV(EE51,"Beta")</f>
        <v>1.1931</v>
      </c>
      <c r="BJ51" s="96" cm="1">
        <f t="array" aca="1" ref="BJ51" ca="1">_FV(EE51,"Variação (%)",TRUE)</f>
        <v>-1.0166E-2</v>
      </c>
      <c r="BK51" s="49"/>
      <c r="BL51" s="49"/>
      <c r="BN51" s="32"/>
      <c r="BO51" s="20" cm="1">
        <f t="array" aca="1" ref="BO51" ca="1">_FV(EE51,"Baixo")</f>
        <v>10.61</v>
      </c>
      <c r="BP51" s="20" cm="1">
        <f t="array" aca="1" ref="BP51" ca="1">_FV(EE51,"Alto")</f>
        <v>10.76</v>
      </c>
      <c r="BQ51" s="32"/>
      <c r="BR51" s="74">
        <f ca="1">SQRT(22.5*(BG51/VLOOKUP(BH51,Fundamentus!A:U,3,FALSE))*(BG51/VLOOKUP(BH51,Fundamentus!A:U,4,FALSE)))</f>
        <v>15.40884026982749</v>
      </c>
      <c r="BT51" s="73">
        <f t="shared" ca="1" si="0"/>
        <v>-9.2506938020351197E-3</v>
      </c>
      <c r="BU51" s="36">
        <f t="shared" si="1"/>
        <v>0.12729124236252545</v>
      </c>
      <c r="BV51" s="8"/>
      <c r="BW51" s="72">
        <f t="shared" si="2"/>
        <v>8.5299999999999994</v>
      </c>
      <c r="BX51" s="72">
        <f t="shared" si="3"/>
        <v>10.020517241379309</v>
      </c>
      <c r="BY51" s="72">
        <f t="shared" si="4"/>
        <v>11.2</v>
      </c>
      <c r="BZ51" s="17"/>
      <c r="CA51" s="17"/>
      <c r="CB51" s="43">
        <f t="shared" si="5"/>
        <v>10.514814547074218</v>
      </c>
      <c r="CC51" s="18">
        <f t="shared" si="6"/>
        <v>10.786476101218341</v>
      </c>
      <c r="CD51" s="43">
        <f t="shared" si="7"/>
        <v>11.058137655362463</v>
      </c>
      <c r="CE51" s="98">
        <f t="shared" ca="1" si="8"/>
        <v>-0.28151241885985695</v>
      </c>
      <c r="CF51" s="17"/>
      <c r="CG51" s="20">
        <f t="shared" si="9"/>
        <v>6.49</v>
      </c>
      <c r="CH51" s="20">
        <f t="shared" si="10"/>
        <v>7.51</v>
      </c>
      <c r="CI51" s="20">
        <f t="shared" si="11"/>
        <v>9.16</v>
      </c>
      <c r="CJ51" s="49">
        <f t="shared" si="12"/>
        <v>10.18</v>
      </c>
      <c r="CK51" s="20">
        <f t="shared" si="13"/>
        <v>11.83</v>
      </c>
      <c r="CL51" s="20">
        <f t="shared" si="14"/>
        <v>12.85</v>
      </c>
      <c r="CM51" s="20">
        <f t="shared" si="15"/>
        <v>14.5</v>
      </c>
      <c r="CN51" s="2" cm="1">
        <f t="array" aca="1" ref="CN51" ca="1">MAX(_xlfn._xlws.FILTER(CG51:CM51,CG51:CM51&lt;BG51))</f>
        <v>10.18</v>
      </c>
      <c r="CO51" s="2" cm="1">
        <f t="array" aca="1" ref="CO51" ca="1">MIN(_xlfn._xlws.FILTER($CG51:$CM51,$CG51:$CM51&gt;BG51))</f>
        <v>11.83</v>
      </c>
      <c r="CP51" s="19">
        <f t="shared" ca="1" si="82"/>
        <v>0.1620825147347742</v>
      </c>
      <c r="CQ51" s="23">
        <f t="shared" ca="1" si="83"/>
        <v>-8.1041257367387098E-2</v>
      </c>
      <c r="CR51" s="23">
        <f t="shared" ca="1" si="84"/>
        <v>-5.4027504911591397E-2</v>
      </c>
      <c r="CS51" s="23">
        <f t="shared" ca="1" si="85"/>
        <v>-3.2416502946954841E-2</v>
      </c>
      <c r="CT51" s="23">
        <f t="shared" ca="1" si="86"/>
        <v>-1.8009168303863801E-2</v>
      </c>
      <c r="CU51" s="23">
        <f t="shared" ca="1" si="87"/>
        <v>-9.5342655726337756E-3</v>
      </c>
      <c r="CV51" s="23">
        <f t="shared" ca="1" si="88"/>
        <v>-4.9115913555992183E-3</v>
      </c>
      <c r="CW51" s="23">
        <f t="shared" ca="1" si="89"/>
        <v>-2.4935771497657569E-3</v>
      </c>
      <c r="CX51" s="24">
        <f t="shared" ca="1" si="90"/>
        <v>2.4935771497657569E-3</v>
      </c>
      <c r="CY51" s="24">
        <f t="shared" ca="1" si="91"/>
        <v>4.9115913555992183E-3</v>
      </c>
      <c r="CZ51" s="24">
        <f t="shared" ca="1" si="92"/>
        <v>9.5342655726337756E-3</v>
      </c>
      <c r="DA51" s="24">
        <f t="shared" ca="1" si="93"/>
        <v>1.8009168303863801E-2</v>
      </c>
      <c r="DB51" s="24">
        <f t="shared" ca="1" si="94"/>
        <v>3.2416502946954841E-2</v>
      </c>
      <c r="DC51" s="24">
        <f t="shared" ca="1" si="95"/>
        <v>5.4027504911591397E-2</v>
      </c>
      <c r="DD51" s="24">
        <f t="shared" ca="1" si="96"/>
        <v>8.1041257367387098E-2</v>
      </c>
      <c r="DF51" s="19" cm="1">
        <f t="array" aca="1" ref="DF51" ca="1">MAX(_xlfn._xlws.FILTER(CQ51:DD51,CQ51:DD51&lt;BJ51))</f>
        <v>-1.8009168303863801E-2</v>
      </c>
      <c r="DG51" s="19" cm="1">
        <f t="array" aca="1" ref="DG51" ca="1">MIN(_xlfn._xlws.FILTER(CQ51:DD51,CQ51:DD51&gt;BJ51))</f>
        <v>-9.5342655726337756E-3</v>
      </c>
      <c r="DH51" s="2" cm="1">
        <f t="array" aca="1" ref="DH51" ca="1">_FV(EE51,"Fechamento anterior",TRUE)</f>
        <v>10.82</v>
      </c>
      <c r="DI51" s="36">
        <f t="shared" ca="1" si="22"/>
        <v>0.92541589648799427</v>
      </c>
      <c r="DJ51" s="18">
        <f t="shared" ca="1" si="97"/>
        <v>10.625140798952193</v>
      </c>
      <c r="DK51" s="18">
        <f t="shared" ca="1" si="98"/>
        <v>10.716839246504103</v>
      </c>
      <c r="DL51" s="9"/>
      <c r="DM51" s="9"/>
      <c r="DN51" s="9"/>
      <c r="DO51" s="9"/>
      <c r="DP51" s="79">
        <v>7.0070667861053086E-3</v>
      </c>
      <c r="DQ51" s="79">
        <v>4.1233893010542786E-3</v>
      </c>
      <c r="DR51" s="79">
        <v>4.1233893010542786E-3</v>
      </c>
      <c r="DS51" s="79">
        <f t="shared" ca="1" si="25"/>
        <v>8.4749027312300256E-3</v>
      </c>
      <c r="DT51" s="47"/>
      <c r="DU51" s="43">
        <f t="shared" si="26"/>
        <v>0.13583077707206126</v>
      </c>
      <c r="DV51" s="83">
        <f t="shared" ca="1" si="27"/>
        <v>1.6192</v>
      </c>
      <c r="DW51" s="83">
        <f t="shared" ca="1" si="28"/>
        <v>2.2096999999999998</v>
      </c>
      <c r="DX51" s="83">
        <f t="shared" ca="1" si="29"/>
        <v>-0.5904999999999998</v>
      </c>
      <c r="DY51" s="67"/>
      <c r="DZ51" s="67"/>
      <c r="EA51" s="85"/>
      <c r="EB51" s="44">
        <v>23008600</v>
      </c>
      <c r="EC51" s="44" cm="1">
        <f t="array" aca="1" ref="EC51" ca="1">_FV(EE51,"Volume")</f>
        <v>16992800</v>
      </c>
      <c r="EE51" s="5" t="e" vm="51">
        <v>#VALUE!</v>
      </c>
      <c r="EG51" s="10" cm="1">
        <f t="array" aca="1" ref="EG51" ca="1">_FV(EE51,"Ações em circulação",TRUE)</f>
        <v>10993810000</v>
      </c>
      <c r="EH51" s="21">
        <f>VLOOKUP(BH51,Fundamentus!A:U,5,FALSE)</f>
        <v>14.516</v>
      </c>
      <c r="EI51" s="2">
        <f t="shared" ca="1" si="30"/>
        <v>8111305118.4899435</v>
      </c>
      <c r="EJ51" s="20">
        <v>15358888779.526039</v>
      </c>
      <c r="EK51" s="20">
        <f t="shared" ca="1" si="31"/>
        <v>15216808402.287132</v>
      </c>
      <c r="EL51" s="2"/>
      <c r="EM51" s="40" t="str">
        <f>IF(VLOOKUP(BH51,Fundamentus!A:U,3,FALSE)&lt;15,"Bom",IF(VLOOKUP(BH51,Fundamentus!A:U,3,FALSE)&gt;15,"Ruim","n/a"))</f>
        <v>Bom</v>
      </c>
      <c r="EN51" s="36" t="str">
        <f>IF(VLOOKUP(BH51,Fundamentus!A:U,4,FALSE)&lt;1,"Baixo",IF(VLOOKUP(BH51,Fundamentus!A:U,4,FALSE)&lt;1.5,"Moderado",IF(VLOOKUP(BH51,Fundamentus!A:U,4,FALSE)&gt;1.5,"Alto","n/a")))</f>
        <v>Moderado</v>
      </c>
      <c r="EO51" s="20" t="str">
        <f>IF(VLOOKUP(BH51,Fundamentus!A:U,8,FALSE)&lt;0,"Risco elevado",IF(VLOOKUP(BH51,Fundamentus!A:U,8,FALSE)&lt;1,"Saudável",IF(VLOOKUP(BH51,Fundamentus!A:U,8,FALSE)&lt;3,"Estável",IF(VLOOKUP(BH51,Fundamentus!A:U,8,FALSE)&gt;3,"Alerta","n/a"))))</f>
        <v>Alerta</v>
      </c>
      <c r="EP51" s="36" t="str">
        <f t="shared" si="32"/>
        <v>Bom</v>
      </c>
      <c r="EQ51" s="20" t="str">
        <f>IF(VLOOKUP(BH51,Fundamentus!A:U,12,FALSE)&lt;2,"Subvalorizada",IF(VLOOKUP(BH51,Fundamentus!A:U,12,FALSE)&lt;6,"Muita barata",IF(VLOOKUP(BH51,Fundamentus!A:U,12,FALSE)&lt;6,"Barata",IF(VLOOKUP(BH51,Fundamentus!A:U,12,FALSE)&lt;8,"Atrativa",IF(VLOOKUP(BH51,Fundamentus!A:U,12,FALSE)&gt;8,"Supervalorizada","n/a")))))</f>
        <v>Supervalorizada</v>
      </c>
      <c r="ER51" s="2"/>
      <c r="ES51" s="20" t="str">
        <f>IF(VLOOKUP(BH51,Fundamentus!A:U,17,FALSE)&lt;0.1,"Fraco retorno",IF(VLOOKUP(BH51,Fundamentus!A:U,17,FALSE)&gt;0.1,"Bom retorno","n/a"))</f>
        <v>Bom retorno</v>
      </c>
      <c r="ET51" s="20" t="str">
        <f>IF(VLOOKUP(BH51,Fundamentus!A:U,16,FALSE)&lt;0.1,"Ineficiente",IF(VLOOKUP(BH51,Fundamentus!A:U,16,FALSE)&gt;0.1,"Eficiente","n/a"))</f>
        <v>Ineficiente</v>
      </c>
      <c r="EU51" s="41" t="str">
        <f>IF(VLOOKUP(BH51,Fundamentus!A:U,16,FALSE)&lt;0.1,"Oper. Ineficiente",IF(VLOOKUP(BH51,Fundamentus!A:U,16,FALSE)&gt;0.1,"Oper.Eficiente","n/a"))</f>
        <v>Oper. Ineficiente</v>
      </c>
      <c r="EV51" s="42">
        <f>VLOOKUP(BH51,Fundamentus!A:U,14,FALSE)</f>
        <v>1.8759999999999999</v>
      </c>
      <c r="EW51" s="20" t="str">
        <f>IF(VLOOKUP(BH51,Fundamentus!A:U,21,FALSE)&lt;0,"Negativo",IF(VLOOKUP(BH51,Fundamentus!A:U,21,FALSE)&lt;0.05,"Fraco",IF(VLOOKUP(BH51,Fundamentus!A:U,21,FALSE)&lt;0.1,"Bom",IF(VLOOKUP(BH51,Fundamentus!A:U,21,FALSE)&gt;0.1,"Muito bom","n/a"))))</f>
        <v>Fraco</v>
      </c>
      <c r="EY51" s="37" t="str">
        <f>IF(VLOOKUP(BH51,Fundamentus!A:U,15,FALSE)&gt;1,"Bom",IF(VLOOKUP(BH51,Fundamentus!A:U,15,FALSE)&lt;1,"Ruim","n/a"))</f>
        <v>Bom</v>
      </c>
      <c r="EZ51" s="20" t="str">
        <f>IF(VLOOKUP(BH51,Fundamentus!A:U,20,FALSE)&lt;0.5,"Baixa",IF(VLOOKUP(BH51,Fundamentus!A:U,20,FALSE)&lt;1,"Moderada",IF(VLOOKUP(BH51,Fundamentus!A:U,20,FALSE)&lt;2,"Alerta",IF(VLOOKUP(BH51,Fundamentus!A:U,20,FALSE)&gt;2,"Alta","n/a"))))</f>
        <v>Baixa</v>
      </c>
    </row>
    <row r="52" spans="1:156" s="2" customFormat="1" ht="11.25" hidden="1" x14ac:dyDescent="0.2">
      <c r="A52" s="4">
        <v>25.46</v>
      </c>
      <c r="B52" s="4">
        <v>23.53</v>
      </c>
      <c r="C52" s="4">
        <v>23.24</v>
      </c>
      <c r="D52" s="4">
        <v>21.86</v>
      </c>
      <c r="E52" s="4">
        <v>22.55</v>
      </c>
      <c r="F52" s="4">
        <v>22.6</v>
      </c>
      <c r="G52" s="4">
        <v>21.73</v>
      </c>
      <c r="H52" s="4">
        <v>21.9</v>
      </c>
      <c r="I52" s="4">
        <v>21.6</v>
      </c>
      <c r="J52" s="4">
        <v>23.05</v>
      </c>
      <c r="K52" s="4">
        <v>22.97</v>
      </c>
      <c r="L52" s="4">
        <v>22.36</v>
      </c>
      <c r="M52" s="4">
        <v>21.1</v>
      </c>
      <c r="N52" s="4">
        <v>20.68</v>
      </c>
      <c r="O52" s="4">
        <v>22.79</v>
      </c>
      <c r="P52" s="4">
        <v>22.88</v>
      </c>
      <c r="Q52" s="4">
        <v>23.3</v>
      </c>
      <c r="R52" s="4">
        <v>22.05</v>
      </c>
      <c r="S52" s="4">
        <v>22.19</v>
      </c>
      <c r="T52" s="4">
        <v>23.12</v>
      </c>
      <c r="U52" s="4">
        <v>22</v>
      </c>
      <c r="V52" s="4">
        <v>21.53</v>
      </c>
      <c r="W52" s="4">
        <v>22.05</v>
      </c>
      <c r="X52" s="4">
        <v>21.9</v>
      </c>
      <c r="Y52" s="4">
        <v>21.43</v>
      </c>
      <c r="Z52" s="4">
        <v>21.4</v>
      </c>
      <c r="AA52" s="4">
        <v>21.06</v>
      </c>
      <c r="AB52" s="4">
        <v>20.45</v>
      </c>
      <c r="AC52" s="4">
        <v>19.79</v>
      </c>
      <c r="AD52" s="4">
        <v>19.95</v>
      </c>
      <c r="AE52" s="4">
        <v>18.22</v>
      </c>
      <c r="AF52" s="4">
        <v>18.43</v>
      </c>
      <c r="AG52" s="4">
        <v>18.55</v>
      </c>
      <c r="AH52" s="4">
        <v>17.190000000000001</v>
      </c>
      <c r="AI52" s="4">
        <v>16.98</v>
      </c>
      <c r="AJ52" s="4">
        <v>16.7</v>
      </c>
      <c r="AK52" s="4">
        <v>17.5</v>
      </c>
      <c r="AL52" s="4">
        <v>17.91</v>
      </c>
      <c r="AM52" s="4">
        <v>18.68</v>
      </c>
      <c r="AN52" s="4">
        <v>19.48</v>
      </c>
      <c r="AO52" s="4">
        <v>18.38</v>
      </c>
      <c r="AP52" s="4">
        <v>19.37</v>
      </c>
      <c r="AQ52" s="4">
        <v>19.440000000000001</v>
      </c>
      <c r="AR52" s="4">
        <v>17.84</v>
      </c>
      <c r="AS52" s="4">
        <v>18.920000000000002</v>
      </c>
      <c r="AT52" s="4">
        <v>19.7</v>
      </c>
      <c r="AU52" s="4">
        <v>20.7</v>
      </c>
      <c r="AV52" s="4">
        <v>21.35</v>
      </c>
      <c r="AW52" s="4">
        <v>20.2</v>
      </c>
      <c r="AX52" s="4">
        <v>21.61</v>
      </c>
      <c r="AY52" s="12">
        <v>23.1</v>
      </c>
      <c r="AZ52" s="12">
        <v>24.14</v>
      </c>
      <c r="BA52" s="12">
        <v>24.45</v>
      </c>
      <c r="BB52" s="18">
        <v>23.37</v>
      </c>
      <c r="BC52" s="63">
        <v>22.95</v>
      </c>
      <c r="BD52" s="63">
        <v>23.28</v>
      </c>
      <c r="BE52" s="63">
        <v>24.01</v>
      </c>
      <c r="BF52" s="63">
        <v>24.31</v>
      </c>
      <c r="BG52" s="91" cm="1">
        <f t="array" aca="1" ref="BG52" ca="1">_FV(EE52,"Preço")</f>
        <v>24.17</v>
      </c>
      <c r="BH52" s="93" t="s">
        <v>50</v>
      </c>
      <c r="BI52" s="32" cm="1">
        <f t="array" aca="1" ref="BI52" ca="1">_FV(EE52,"Beta")</f>
        <v>2.0951</v>
      </c>
      <c r="BJ52" s="96" cm="1">
        <f t="array" aca="1" ref="BJ52" ca="1">_FV(EE52,"Variação (%)",TRUE)</f>
        <v>-2.1853999999999998E-2</v>
      </c>
      <c r="BK52" s="49"/>
      <c r="BL52" s="49"/>
      <c r="BN52" s="32"/>
      <c r="BO52" s="20" cm="1">
        <f t="array" aca="1" ref="BO52" ca="1">_FV(EE52,"Baixo")</f>
        <v>24.07</v>
      </c>
      <c r="BP52" s="20" cm="1">
        <f t="array" aca="1" ref="BP52" ca="1">_FV(EE52,"Alto")</f>
        <v>24.56</v>
      </c>
      <c r="BQ52" s="32"/>
      <c r="BR52" s="74">
        <f ca="1">SQRT(22.5*(BG52/VLOOKUP(BH52,Fundamentus!A:U,3,FALSE))*(BG52/VLOOKUP(BH52,Fundamentus!A:U,4,FALSE)))</f>
        <v>12.343612782203698</v>
      </c>
      <c r="BT52" s="73">
        <f t="shared" ca="1" si="0"/>
        <v>-5.7589469354174016E-3</v>
      </c>
      <c r="BU52" s="36">
        <f t="shared" si="1"/>
        <v>-5.6952081696779233E-2</v>
      </c>
      <c r="BV52" s="8"/>
      <c r="BW52" s="72">
        <f t="shared" si="2"/>
        <v>16.7</v>
      </c>
      <c r="BX52" s="72">
        <f t="shared" si="3"/>
        <v>21.194482758620691</v>
      </c>
      <c r="BY52" s="72">
        <f t="shared" si="4"/>
        <v>25.46</v>
      </c>
      <c r="BZ52" s="17"/>
      <c r="CA52" s="17"/>
      <c r="CB52" s="43">
        <f t="shared" si="5"/>
        <v>23.711929971185285</v>
      </c>
      <c r="CC52" s="18">
        <f t="shared" si="6"/>
        <v>24.803477038425171</v>
      </c>
      <c r="CD52" s="43">
        <f t="shared" si="7"/>
        <v>25.895024105665058</v>
      </c>
      <c r="CE52" s="98">
        <f t="shared" ca="1" si="8"/>
        <v>-0.58034789102314721</v>
      </c>
      <c r="CF52" s="17"/>
      <c r="CG52" s="20">
        <f t="shared" si="9"/>
        <v>10.09333333333333</v>
      </c>
      <c r="CH52" s="20">
        <f t="shared" si="10"/>
        <v>13.396666666666665</v>
      </c>
      <c r="CI52" s="20">
        <f t="shared" si="11"/>
        <v>18.853333333333332</v>
      </c>
      <c r="CJ52" s="49">
        <f t="shared" si="12"/>
        <v>22.156666666666666</v>
      </c>
      <c r="CK52" s="20">
        <f t="shared" si="13"/>
        <v>27.613333333333333</v>
      </c>
      <c r="CL52" s="20">
        <f t="shared" si="14"/>
        <v>30.916666666666668</v>
      </c>
      <c r="CM52" s="20">
        <f t="shared" si="15"/>
        <v>36.373333333333335</v>
      </c>
      <c r="CN52" s="2" cm="1">
        <f t="array" aca="1" ref="CN52" ca="1">MAX(_xlfn._xlws.FILTER(CG52:CM52,CG52:CM52&lt;BG52))</f>
        <v>22.156666666666666</v>
      </c>
      <c r="CO52" s="2" cm="1">
        <f t="array" aca="1" ref="CO52" ca="1">MIN(_xlfn._xlws.FILTER($CG52:$CM52,$CG52:$CM52&gt;BG52))</f>
        <v>27.613333333333333</v>
      </c>
      <c r="CP52" s="19">
        <f t="shared" ca="1" si="82"/>
        <v>0.24627651572137799</v>
      </c>
      <c r="CQ52" s="23">
        <f t="shared" ca="1" si="83"/>
        <v>-0.12313825786068899</v>
      </c>
      <c r="CR52" s="23">
        <f t="shared" ca="1" si="84"/>
        <v>-8.2092171907125991E-2</v>
      </c>
      <c r="CS52" s="23">
        <f t="shared" ca="1" si="85"/>
        <v>-4.9255303144275599E-2</v>
      </c>
      <c r="CT52" s="23">
        <f t="shared" ca="1" si="86"/>
        <v>-2.736405730237533E-2</v>
      </c>
      <c r="CU52" s="23">
        <f t="shared" ca="1" si="87"/>
        <v>-1.4486853865963411E-2</v>
      </c>
      <c r="CV52" s="23">
        <f t="shared" ca="1" si="88"/>
        <v>-7.4629247188296357E-3</v>
      </c>
      <c r="CW52" s="23">
        <f t="shared" ca="1" si="89"/>
        <v>-3.7888694726365842E-3</v>
      </c>
      <c r="CX52" s="24">
        <f t="shared" ca="1" si="90"/>
        <v>3.7888694726365842E-3</v>
      </c>
      <c r="CY52" s="24">
        <f t="shared" ca="1" si="91"/>
        <v>7.4629247188296357E-3</v>
      </c>
      <c r="CZ52" s="24">
        <f t="shared" ca="1" si="92"/>
        <v>1.4486853865963411E-2</v>
      </c>
      <c r="DA52" s="24">
        <f t="shared" ca="1" si="93"/>
        <v>2.736405730237533E-2</v>
      </c>
      <c r="DB52" s="24">
        <f t="shared" ca="1" si="94"/>
        <v>4.9255303144275599E-2</v>
      </c>
      <c r="DC52" s="24">
        <f t="shared" ca="1" si="95"/>
        <v>8.2092171907125991E-2</v>
      </c>
      <c r="DD52" s="24">
        <f t="shared" ca="1" si="96"/>
        <v>0.12313825786068899</v>
      </c>
      <c r="DF52" s="19" cm="1">
        <f t="array" aca="1" ref="DF52" ca="1">MAX(_xlfn._xlws.FILTER(CQ52:DD52,CQ52:DD52&lt;BJ52))</f>
        <v>-2.736405730237533E-2</v>
      </c>
      <c r="DG52" s="19" cm="1">
        <f t="array" aca="1" ref="DG52" ca="1">MIN(_xlfn._xlws.FILTER(CQ52:DD52,CQ52:DD52&gt;BJ52))</f>
        <v>-1.4486853865963411E-2</v>
      </c>
      <c r="DH52" s="2" cm="1">
        <f t="array" aca="1" ref="DH52" ca="1">_FV(EE52,"Fechamento anterior",TRUE)</f>
        <v>24.71</v>
      </c>
      <c r="DI52" s="36">
        <f t="shared" ca="1" si="22"/>
        <v>0.42793116708491896</v>
      </c>
      <c r="DJ52" s="18">
        <f t="shared" ca="1" si="97"/>
        <v>24.033834144058307</v>
      </c>
      <c r="DK52" s="18">
        <f t="shared" ca="1" si="98"/>
        <v>24.352029840972044</v>
      </c>
      <c r="DL52" s="9"/>
      <c r="DM52" s="9"/>
      <c r="DN52" s="9"/>
      <c r="DO52" s="9"/>
      <c r="DP52" s="79">
        <v>1.3547447964693133E-2</v>
      </c>
      <c r="DQ52" s="79">
        <v>7.972152071530958E-3</v>
      </c>
      <c r="DR52" s="79">
        <v>1.3547447964693133E-2</v>
      </c>
      <c r="DS52" s="79">
        <f t="shared" ca="1" si="25"/>
        <v>1.2877203436411919E-2</v>
      </c>
      <c r="DT52" s="47"/>
      <c r="DU52" s="43">
        <f t="shared" si="26"/>
        <v>0.54577353361994374</v>
      </c>
      <c r="DV52" s="83">
        <f t="shared" ca="1" si="27"/>
        <v>2.5211999999999999</v>
      </c>
      <c r="DW52" s="83">
        <f t="shared" ca="1" si="28"/>
        <v>4.2805</v>
      </c>
      <c r="DX52" s="83">
        <f t="shared" ca="1" si="29"/>
        <v>-1.7593000000000001</v>
      </c>
      <c r="DY52" s="67"/>
      <c r="DZ52" s="67"/>
      <c r="EA52" s="85"/>
      <c r="EB52" s="44">
        <v>4515500</v>
      </c>
      <c r="EC52" s="44" cm="1">
        <f t="array" aca="1" ref="EC52" ca="1">_FV(EE52,"Volume")</f>
        <v>3165200</v>
      </c>
      <c r="EE52" s="2" t="e" vm="52">
        <v>#VALUE!</v>
      </c>
      <c r="EG52" s="10" cm="1">
        <f t="array" aca="1" ref="EG52" ca="1">_FV(EE52,"Ações em circulação",TRUE)</f>
        <v>597250100</v>
      </c>
      <c r="EH52" s="21">
        <f>VLOOKUP(BH52,Fundamentus!A:U,5,FALSE)</f>
        <v>2.4790000000000001</v>
      </c>
      <c r="EI52" s="2">
        <f t="shared" ca="1" si="30"/>
        <v>5823128244.0500212</v>
      </c>
      <c r="EJ52" s="20">
        <v>456249205.17341667</v>
      </c>
      <c r="EK52" s="20">
        <f t="shared" ca="1" si="31"/>
        <v>453621690.21149665</v>
      </c>
      <c r="EM52" s="40" t="str">
        <f>IF(VLOOKUP(BH52,Fundamentus!A:U,3,FALSE)&lt;15,"Bom",IF(VLOOKUP(BH52,Fundamentus!A:U,3,FALSE)&gt;15,"Ruim","n/a"))</f>
        <v>Ruim</v>
      </c>
      <c r="EN52" s="36" t="str">
        <f>IF(VLOOKUP(BH52,Fundamentus!A:U,4,FALSE)&lt;1,"Baixo",IF(VLOOKUP(BH52,Fundamentus!A:U,4,FALSE)&lt;1.5,"Moderado",IF(VLOOKUP(BH52,Fundamentus!A:U,4,FALSE)&gt;1.5,"Alto","n/a")))</f>
        <v>Alto</v>
      </c>
      <c r="EO52" s="20" t="str">
        <f>IF(VLOOKUP(BH52,Fundamentus!A:U,8,FALSE)&lt;0,"Risco elevado",IF(VLOOKUP(BH52,Fundamentus!A:U,8,FALSE)&lt;1,"Saudável",IF(VLOOKUP(BH52,Fundamentus!A:U,8,FALSE)&lt;3,"Estável",IF(VLOOKUP(BH52,Fundamentus!A:U,8,FALSE)&gt;3,"Alerta","n/a"))))</f>
        <v>Alerta</v>
      </c>
      <c r="EP52" s="36" t="str">
        <f t="shared" si="32"/>
        <v>Bom</v>
      </c>
      <c r="EQ52" s="20" t="str">
        <f>IF(VLOOKUP(BH52,Fundamentus!A:U,12,FALSE)&lt;2,"Subvalorizada",IF(VLOOKUP(BH52,Fundamentus!A:U,12,FALSE)&lt;6,"Muita barata",IF(VLOOKUP(BH52,Fundamentus!A:U,12,FALSE)&lt;6,"Barata",IF(VLOOKUP(BH52,Fundamentus!A:U,12,FALSE)&lt;8,"Atrativa",IF(VLOOKUP(BH52,Fundamentus!A:U,12,FALSE)&gt;8,"Supervalorizada","n/a")))))</f>
        <v>Atrativa</v>
      </c>
      <c r="ES52" s="20" t="str">
        <f>IF(VLOOKUP(BH52,Fundamentus!A:U,17,FALSE)&lt;0.1,"Fraco retorno",IF(VLOOKUP(BH52,Fundamentus!A:U,17,FALSE)&gt;0.1,"Bom retorno","n/a"))</f>
        <v>Fraco retorno</v>
      </c>
      <c r="ET52" s="20" t="str">
        <f>IF(VLOOKUP(BH52,Fundamentus!A:U,16,FALSE)&lt;0.1,"Ineficiente",IF(VLOOKUP(BH52,Fundamentus!A:U,16,FALSE)&gt;0.1,"Eficiente","n/a"))</f>
        <v>Ineficiente</v>
      </c>
      <c r="EU52" s="41" t="str">
        <f>IF(VLOOKUP(BH52,Fundamentus!A:U,16,FALSE)&lt;0.1,"Oper. Ineficiente",IF(VLOOKUP(BH52,Fundamentus!A:U,16,FALSE)&gt;0.1,"Oper.Eficiente","n/a"))</f>
        <v>Oper. Ineficiente</v>
      </c>
      <c r="EV52" s="42">
        <f>VLOOKUP(BH52,Fundamentus!A:U,14,FALSE)</f>
        <v>7.7899999999999997E-2</v>
      </c>
      <c r="EW52" s="20" t="str">
        <f>IF(VLOOKUP(BH52,Fundamentus!A:U,21,FALSE)&lt;0,"Negativo",IF(VLOOKUP(BH52,Fundamentus!A:U,21,FALSE)&lt;0.05,"Fraco",IF(VLOOKUP(BH52,Fundamentus!A:U,21,FALSE)&lt;0.1,"Bom",IF(VLOOKUP(BH52,Fundamentus!A:U,21,FALSE)&gt;0.1,"Muito bom","n/a"))))</f>
        <v>Muito bom</v>
      </c>
      <c r="EY52" s="37" t="str">
        <f>IF(VLOOKUP(BH52,Fundamentus!A:U,15,FALSE)&gt;1,"Bom",IF(VLOOKUP(BH52,Fundamentus!A:U,15,FALSE)&lt;1,"Ruim","n/a"))</f>
        <v>Bom</v>
      </c>
      <c r="EZ52" s="20" t="str">
        <f>IF(VLOOKUP(BH52,Fundamentus!A:U,20,FALSE)&lt;0.5,"Baixa",IF(VLOOKUP(BH52,Fundamentus!A:U,20,FALSE)&lt;1,"Moderada",IF(VLOOKUP(BH52,Fundamentus!A:U,20,FALSE)&lt;2,"Alerta",IF(VLOOKUP(BH52,Fundamentus!A:U,20,FALSE)&gt;2,"Alta","n/a"))))</f>
        <v>Alerta</v>
      </c>
    </row>
    <row r="53" spans="1:156" s="2" customFormat="1" ht="11.25" hidden="1" x14ac:dyDescent="0.2">
      <c r="A53" s="4">
        <v>14.83</v>
      </c>
      <c r="B53" s="4">
        <v>14.75</v>
      </c>
      <c r="C53" s="4">
        <v>14.56</v>
      </c>
      <c r="D53" s="4">
        <v>14.3</v>
      </c>
      <c r="E53" s="4">
        <v>14.05</v>
      </c>
      <c r="F53" s="4">
        <v>14.42</v>
      </c>
      <c r="G53" s="4">
        <v>14.2</v>
      </c>
      <c r="H53" s="4">
        <v>14.21</v>
      </c>
      <c r="I53" s="4">
        <v>14.99</v>
      </c>
      <c r="J53" s="4">
        <v>15.07</v>
      </c>
      <c r="K53" s="4">
        <v>15.58</v>
      </c>
      <c r="L53" s="4">
        <v>15.61</v>
      </c>
      <c r="M53" s="4">
        <v>15.32</v>
      </c>
      <c r="N53" s="4">
        <v>15.38</v>
      </c>
      <c r="O53" s="4">
        <v>15.85</v>
      </c>
      <c r="P53" s="4">
        <v>15.77</v>
      </c>
      <c r="Q53" s="4">
        <v>16</v>
      </c>
      <c r="R53" s="4">
        <v>15.95</v>
      </c>
      <c r="S53" s="4">
        <v>16.73</v>
      </c>
      <c r="T53" s="4">
        <v>16.670000000000002</v>
      </c>
      <c r="U53" s="4">
        <v>16.45</v>
      </c>
      <c r="V53" s="4">
        <v>15.59</v>
      </c>
      <c r="W53" s="4">
        <v>15.15</v>
      </c>
      <c r="X53" s="4">
        <v>14.81</v>
      </c>
      <c r="Y53" s="4">
        <v>14.95</v>
      </c>
      <c r="Z53" s="4">
        <v>15.03</v>
      </c>
      <c r="AA53" s="4">
        <v>14.24</v>
      </c>
      <c r="AB53" s="4">
        <v>13.59</v>
      </c>
      <c r="AC53" s="4">
        <v>13.77</v>
      </c>
      <c r="AD53" s="4">
        <v>13.58</v>
      </c>
      <c r="AE53" s="4">
        <v>13.18</v>
      </c>
      <c r="AF53" s="4">
        <v>13.09</v>
      </c>
      <c r="AG53" s="4">
        <v>13.13</v>
      </c>
      <c r="AH53" s="4">
        <v>12.37</v>
      </c>
      <c r="AI53" s="4">
        <v>12.24</v>
      </c>
      <c r="AJ53" s="4">
        <v>11.95</v>
      </c>
      <c r="AK53" s="4">
        <v>11.84</v>
      </c>
      <c r="AL53" s="4">
        <v>11.54</v>
      </c>
      <c r="AM53" s="4">
        <v>11.58</v>
      </c>
      <c r="AN53" s="4">
        <v>11.84</v>
      </c>
      <c r="AO53" s="4">
        <v>11.69</v>
      </c>
      <c r="AP53" s="4">
        <v>12.45</v>
      </c>
      <c r="AQ53" s="4">
        <v>11.74</v>
      </c>
      <c r="AR53" s="4">
        <v>11.09</v>
      </c>
      <c r="AS53" s="4">
        <v>11.06</v>
      </c>
      <c r="AT53" s="4">
        <v>11.55</v>
      </c>
      <c r="AU53" s="4">
        <v>11.914999999999999</v>
      </c>
      <c r="AV53" s="4">
        <v>11.75</v>
      </c>
      <c r="AW53" s="4">
        <v>11.7</v>
      </c>
      <c r="AX53" s="4">
        <v>12.02</v>
      </c>
      <c r="AY53" s="12">
        <v>12.29</v>
      </c>
      <c r="AZ53" s="12">
        <v>12.98</v>
      </c>
      <c r="BA53" s="12">
        <v>12.99</v>
      </c>
      <c r="BB53" s="18">
        <v>13.18</v>
      </c>
      <c r="BC53" s="63">
        <v>12.65</v>
      </c>
      <c r="BD53" s="63">
        <v>12.59</v>
      </c>
      <c r="BE53" s="63">
        <v>12.85</v>
      </c>
      <c r="BF53" s="63">
        <v>13.07</v>
      </c>
      <c r="BG53" s="91" cm="1">
        <f t="array" aca="1" ref="BG53" ca="1">_FV(EE53,"Preço")</f>
        <v>13.02</v>
      </c>
      <c r="BH53" s="93" t="s">
        <v>51</v>
      </c>
      <c r="BI53" s="32" cm="1">
        <f t="array" aca="1" ref="BI53" ca="1">_FV(EE53,"Beta")</f>
        <v>0.6321</v>
      </c>
      <c r="BJ53" s="96" cm="1">
        <f t="array" aca="1" ref="BJ53" ca="1">_FV(EE53,"Variação (%)",TRUE)</f>
        <v>7.7400000000000004E-3</v>
      </c>
      <c r="BK53" s="49"/>
      <c r="BL53" s="49"/>
      <c r="BN53" s="32"/>
      <c r="BO53" s="20" cm="1">
        <f t="array" aca="1" ref="BO53" ca="1">_FV(EE53,"Baixo")</f>
        <v>12.72</v>
      </c>
      <c r="BP53" s="20" cm="1">
        <f t="array" aca="1" ref="BP53" ca="1">_FV(EE53,"Alto")</f>
        <v>13.12</v>
      </c>
      <c r="BQ53" s="32"/>
      <c r="BR53" s="74">
        <f ca="1">SQRT(22.5*(BG53/VLOOKUP(BH53,Fundamentus!A:U,3,FALSE))*(BG53/VLOOKUP(BH53,Fundamentus!A:U,4,FALSE)))</f>
        <v>15.726289342072661</v>
      </c>
      <c r="BT53" s="73">
        <f t="shared" ca="1" si="0"/>
        <v>-3.825554705432342E-3</v>
      </c>
      <c r="BU53" s="36">
        <f t="shared" si="1"/>
        <v>-0.13351314902225223</v>
      </c>
      <c r="BV53" s="8"/>
      <c r="BW53" s="72">
        <f t="shared" si="2"/>
        <v>11.06</v>
      </c>
      <c r="BX53" s="72">
        <f t="shared" si="3"/>
        <v>13.684913793103449</v>
      </c>
      <c r="BY53" s="72">
        <f t="shared" si="4"/>
        <v>16.73</v>
      </c>
      <c r="BZ53" s="17"/>
      <c r="CA53" s="17"/>
      <c r="CB53" s="43">
        <f t="shared" si="5"/>
        <v>12.777019958770083</v>
      </c>
      <c r="CC53" s="18">
        <f t="shared" si="6"/>
        <v>13.153317713214619</v>
      </c>
      <c r="CD53" s="43">
        <f t="shared" si="7"/>
        <v>13.529615467659156</v>
      </c>
      <c r="CE53" s="98">
        <f t="shared" ca="1" si="8"/>
        <v>-0.3542878256380077</v>
      </c>
      <c r="CF53" s="17"/>
      <c r="CG53" s="20">
        <f t="shared" si="9"/>
        <v>4.8399999999999981</v>
      </c>
      <c r="CH53" s="20">
        <f t="shared" si="10"/>
        <v>7.9499999999999993</v>
      </c>
      <c r="CI53" s="20">
        <f t="shared" si="11"/>
        <v>10.509999999999998</v>
      </c>
      <c r="CJ53" s="49">
        <f t="shared" si="12"/>
        <v>13.62</v>
      </c>
      <c r="CK53" s="20">
        <f t="shared" si="13"/>
        <v>16.18</v>
      </c>
      <c r="CL53" s="20">
        <f t="shared" si="14"/>
        <v>19.29</v>
      </c>
      <c r="CM53" s="20">
        <f t="shared" si="15"/>
        <v>21.849999999999998</v>
      </c>
      <c r="CN53" s="2" cm="1">
        <f t="array" aca="1" ref="CN53" ca="1">MAX(_xlfn._xlws.FILTER(CG53:CM53,CG53:CM53&lt;BG53))</f>
        <v>10.509999999999998</v>
      </c>
      <c r="CO53" s="2" cm="1">
        <f t="array" aca="1" ref="CO53" ca="1">MIN(_xlfn._xlws.FILTER($CG53:$CM53,$CG53:$CM53&gt;BG53))</f>
        <v>13.62</v>
      </c>
      <c r="CP53" s="19">
        <f t="shared" ca="1" si="82"/>
        <v>0.29590865842055192</v>
      </c>
      <c r="CQ53" s="23">
        <f t="shared" ca="1" si="83"/>
        <v>-0.14795432921027596</v>
      </c>
      <c r="CR53" s="23">
        <f t="shared" ca="1" si="84"/>
        <v>-9.8636219473517306E-2</v>
      </c>
      <c r="CS53" s="23">
        <f t="shared" ca="1" si="85"/>
        <v>-5.9181731684110381E-2</v>
      </c>
      <c r="CT53" s="23">
        <f t="shared" ca="1" si="86"/>
        <v>-3.2878739824505766E-2</v>
      </c>
      <c r="CU53" s="23">
        <f t="shared" ca="1" si="87"/>
        <v>-1.740639167179717E-2</v>
      </c>
      <c r="CV53" s="23">
        <f t="shared" ca="1" si="88"/>
        <v>-8.966929043047028E-3</v>
      </c>
      <c r="CW53" s="23">
        <f t="shared" ca="1" si="89"/>
        <v>-4.552440898777722E-3</v>
      </c>
      <c r="CX53" s="24">
        <f t="shared" ca="1" si="90"/>
        <v>4.552440898777722E-3</v>
      </c>
      <c r="CY53" s="24">
        <f t="shared" ca="1" si="91"/>
        <v>8.966929043047028E-3</v>
      </c>
      <c r="CZ53" s="24">
        <f t="shared" ca="1" si="92"/>
        <v>1.740639167179717E-2</v>
      </c>
      <c r="DA53" s="24">
        <f t="shared" ca="1" si="93"/>
        <v>3.2878739824505766E-2</v>
      </c>
      <c r="DB53" s="24">
        <f t="shared" ca="1" si="94"/>
        <v>5.9181731684110381E-2</v>
      </c>
      <c r="DC53" s="24">
        <f t="shared" ca="1" si="95"/>
        <v>9.8636219473517306E-2</v>
      </c>
      <c r="DD53" s="24">
        <f t="shared" ca="1" si="96"/>
        <v>0.14795432921027596</v>
      </c>
      <c r="DF53" s="19" cm="1">
        <f t="array" aca="1" ref="DF53" ca="1">MAX(_xlfn._xlws.FILTER(CQ53:DD53,CQ53:DD53&lt;BJ53))</f>
        <v>4.552440898777722E-3</v>
      </c>
      <c r="DG53" s="19" cm="1">
        <f t="array" aca="1" ref="DG53" ca="1">MIN(_xlfn._xlws.FILTER(CQ53:DD53,CQ53:DD53&gt;BJ53))</f>
        <v>8.966929043047028E-3</v>
      </c>
      <c r="DH53" s="2" cm="1">
        <f t="array" aca="1" ref="DH53" ca="1">_FV(EE53,"Fechamento anterior",TRUE)</f>
        <v>12.92</v>
      </c>
      <c r="DI53" s="36">
        <f t="shared" ca="1" si="22"/>
        <v>0.72205362831372466</v>
      </c>
      <c r="DJ53" s="18">
        <f t="shared" ca="1" si="97"/>
        <v>12.978817536412208</v>
      </c>
      <c r="DK53" s="18">
        <f t="shared" ca="1" si="98"/>
        <v>13.035852723236168</v>
      </c>
      <c r="DL53" s="9"/>
      <c r="DM53" s="9"/>
      <c r="DN53" s="9"/>
      <c r="DO53" s="9"/>
      <c r="DP53" s="79">
        <v>6.6454515527268835E-3</v>
      </c>
      <c r="DQ53" s="79">
        <v>3.2220371164736403E-3</v>
      </c>
      <c r="DR53" s="79">
        <v>3.2220371164736403E-3</v>
      </c>
      <c r="DS53" s="79">
        <f t="shared" ca="1" si="25"/>
        <v>4.414488144269306E-3</v>
      </c>
      <c r="DT53" s="47"/>
      <c r="DU53" s="43">
        <f t="shared" si="26"/>
        <v>0.18814887722226784</v>
      </c>
      <c r="DV53" s="83">
        <f t="shared" ca="1" si="27"/>
        <v>1.0582</v>
      </c>
      <c r="DW53" s="83">
        <f t="shared" ca="1" si="28"/>
        <v>-0.14190000000000003</v>
      </c>
      <c r="DX53" s="83">
        <f t="shared" ca="1" si="29"/>
        <v>1.2000999999999999</v>
      </c>
      <c r="DY53" s="67"/>
      <c r="DZ53" s="67"/>
      <c r="EA53" s="85"/>
      <c r="EB53" s="44">
        <v>2844300</v>
      </c>
      <c r="EC53" s="44" cm="1">
        <f t="array" aca="1" ref="EC53" ca="1">_FV(EE53,"Volume")</f>
        <v>2528500</v>
      </c>
      <c r="EE53" s="2" t="e" vm="53">
        <v>#VALUE!</v>
      </c>
      <c r="EG53" s="10" cm="1">
        <f t="array" aca="1" ref="EG53" ca="1">_FV(EE53,"Ações em circulação",TRUE)</f>
        <v>547191000</v>
      </c>
      <c r="EH53" s="21">
        <f>VLOOKUP(BH53,Fundamentus!A:U,5,FALSE)</f>
        <v>0.91300000000000003</v>
      </c>
      <c r="EI53" s="2">
        <f t="shared" ca="1" si="30"/>
        <v>7803315246.4403067</v>
      </c>
      <c r="EJ53" s="20">
        <v>614129300.55640745</v>
      </c>
      <c r="EK53" s="20">
        <f t="shared" ca="1" si="31"/>
        <v>611779915.32091999</v>
      </c>
      <c r="EM53" s="40" t="str">
        <f>IF(VLOOKUP(BH53,Fundamentus!A:U,3,FALSE)&lt;15,"Bom",IF(VLOOKUP(BH53,Fundamentus!A:U,3,FALSE)&gt;15,"Ruim","n/a"))</f>
        <v>Bom</v>
      </c>
      <c r="EN53" s="36" t="str">
        <f>IF(VLOOKUP(BH53,Fundamentus!A:U,4,FALSE)&lt;1,"Baixo",IF(VLOOKUP(BH53,Fundamentus!A:U,4,FALSE)&lt;1.5,"Moderado",IF(VLOOKUP(BH53,Fundamentus!A:U,4,FALSE)&gt;1.5,"Alto","n/a")))</f>
        <v>Moderado</v>
      </c>
      <c r="EO53" s="20" t="str">
        <f>IF(VLOOKUP(BH53,Fundamentus!A:U,8,FALSE)&lt;0,"Risco elevado",IF(VLOOKUP(BH53,Fundamentus!A:U,8,FALSE)&lt;1,"Saudável",IF(VLOOKUP(BH53,Fundamentus!A:U,8,FALSE)&lt;3,"Estável",IF(VLOOKUP(BH53,Fundamentus!A:U,8,FALSE)&gt;3,"Alerta","n/a"))))</f>
        <v>Estável</v>
      </c>
      <c r="EP53" s="36" t="str">
        <f t="shared" si="32"/>
        <v>Ruim</v>
      </c>
      <c r="EQ53" s="20" t="str">
        <f>IF(VLOOKUP(BH53,Fundamentus!A:U,12,FALSE)&lt;2,"Subvalorizada",IF(VLOOKUP(BH53,Fundamentus!A:U,12,FALSE)&lt;6,"Muita barata",IF(VLOOKUP(BH53,Fundamentus!A:U,12,FALSE)&lt;6,"Barata",IF(VLOOKUP(BH53,Fundamentus!A:U,12,FALSE)&lt;8,"Atrativa",IF(VLOOKUP(BH53,Fundamentus!A:U,12,FALSE)&gt;8,"Supervalorizada","n/a")))))</f>
        <v>Muita barata</v>
      </c>
      <c r="ES53" s="20" t="str">
        <f>IF(VLOOKUP(BH53,Fundamentus!A:U,17,FALSE)&lt;0.1,"Fraco retorno",IF(VLOOKUP(BH53,Fundamentus!A:U,17,FALSE)&gt;0.1,"Bom retorno","n/a"))</f>
        <v>Bom retorno</v>
      </c>
      <c r="ET53" s="20" t="str">
        <f>IF(VLOOKUP(BH53,Fundamentus!A:U,16,FALSE)&lt;0.1,"Ineficiente",IF(VLOOKUP(BH53,Fundamentus!A:U,16,FALSE)&gt;0.1,"Eficiente","n/a"))</f>
        <v>Eficiente</v>
      </c>
      <c r="EU53" s="41" t="str">
        <f>IF(VLOOKUP(BH53,Fundamentus!A:U,16,FALSE)&lt;0.1,"Oper. Ineficiente",IF(VLOOKUP(BH53,Fundamentus!A:U,16,FALSE)&gt;0.1,"Oper.Eficiente","n/a"))</f>
        <v>Oper.Eficiente</v>
      </c>
      <c r="EV53" s="42">
        <f>VLOOKUP(BH53,Fundamentus!A:U,14,FALSE)</f>
        <v>7.8399999999999997E-2</v>
      </c>
      <c r="EW53" s="20" t="str">
        <f>IF(VLOOKUP(BH53,Fundamentus!A:U,21,FALSE)&lt;0,"Negativo",IF(VLOOKUP(BH53,Fundamentus!A:U,21,FALSE)&lt;0.05,"Fraco",IF(VLOOKUP(BH53,Fundamentus!A:U,21,FALSE)&lt;0.1,"Bom",IF(VLOOKUP(BH53,Fundamentus!A:U,21,FALSE)&gt;0.1,"Muito bom","n/a"))))</f>
        <v>Muito bom</v>
      </c>
      <c r="EY53" s="37" t="str">
        <f>IF(VLOOKUP(BH53,Fundamentus!A:U,15,FALSE)&gt;1,"Bom",IF(VLOOKUP(BH53,Fundamentus!A:U,15,FALSE)&lt;1,"Ruim","n/a"))</f>
        <v>Bom</v>
      </c>
      <c r="EZ53" s="20" t="str">
        <f>IF(VLOOKUP(BH53,Fundamentus!A:U,20,FALSE)&lt;0.5,"Baixa",IF(VLOOKUP(BH53,Fundamentus!A:U,20,FALSE)&lt;1,"Moderada",IF(VLOOKUP(BH53,Fundamentus!A:U,20,FALSE)&lt;2,"Alerta",IF(VLOOKUP(BH53,Fundamentus!A:U,20,FALSE)&gt;2,"Alta","n/a"))))</f>
        <v>Alerta</v>
      </c>
    </row>
    <row r="54" spans="1:156" s="2" customFormat="1" ht="11.25" hidden="1" x14ac:dyDescent="0.2">
      <c r="A54" s="4">
        <v>10.43</v>
      </c>
      <c r="B54" s="4">
        <v>10.6</v>
      </c>
      <c r="C54" s="4">
        <v>10.7</v>
      </c>
      <c r="D54" s="4">
        <v>10.5</v>
      </c>
      <c r="E54" s="4">
        <v>10.35</v>
      </c>
      <c r="F54" s="4">
        <v>10.11</v>
      </c>
      <c r="G54" s="4">
        <v>10.45</v>
      </c>
      <c r="H54" s="4">
        <v>10.1</v>
      </c>
      <c r="I54" s="4">
        <v>10.48</v>
      </c>
      <c r="J54" s="4">
        <v>11.09</v>
      </c>
      <c r="K54" s="4">
        <v>11</v>
      </c>
      <c r="L54" s="4">
        <v>10.89</v>
      </c>
      <c r="M54" s="4">
        <v>10.8</v>
      </c>
      <c r="N54" s="4">
        <v>10.48</v>
      </c>
      <c r="O54" s="4">
        <v>10.7</v>
      </c>
      <c r="P54" s="4">
        <v>10.85</v>
      </c>
      <c r="Q54" s="4">
        <v>11.28</v>
      </c>
      <c r="R54" s="4">
        <v>11</v>
      </c>
      <c r="S54" s="4">
        <v>10.91</v>
      </c>
      <c r="T54" s="4">
        <v>11.05</v>
      </c>
      <c r="U54" s="4">
        <v>11.2</v>
      </c>
      <c r="V54" s="4">
        <v>10.95</v>
      </c>
      <c r="W54" s="4">
        <v>11.02</v>
      </c>
      <c r="X54" s="4">
        <v>10.87</v>
      </c>
      <c r="Y54" s="4">
        <v>10.44</v>
      </c>
      <c r="Z54" s="4">
        <v>10.050000000000001</v>
      </c>
      <c r="AA54" s="4">
        <v>10</v>
      </c>
      <c r="AB54" s="4">
        <v>9.64</v>
      </c>
      <c r="AC54" s="4">
        <v>9.5399999999999991</v>
      </c>
      <c r="AD54" s="4">
        <v>9.6199999999999992</v>
      </c>
      <c r="AE54" s="4">
        <v>9.3000000000000007</v>
      </c>
      <c r="AF54" s="4">
        <v>9.02</v>
      </c>
      <c r="AG54" s="4">
        <v>9.0500000000000007</v>
      </c>
      <c r="AH54" s="4">
        <v>8.4700000000000006</v>
      </c>
      <c r="AI54" s="4">
        <v>8.32</v>
      </c>
      <c r="AJ54" s="4">
        <v>8.2200000000000006</v>
      </c>
      <c r="AK54" s="4">
        <v>8.7200000000000006</v>
      </c>
      <c r="AL54" s="4">
        <v>8.76</v>
      </c>
      <c r="AM54" s="4">
        <v>9.2100000000000009</v>
      </c>
      <c r="AN54" s="4">
        <v>9.42</v>
      </c>
      <c r="AO54" s="4">
        <v>9.19</v>
      </c>
      <c r="AP54" s="4">
        <v>9.5299999999999994</v>
      </c>
      <c r="AQ54" s="4">
        <v>9.36</v>
      </c>
      <c r="AR54" s="4">
        <v>9.2799999999999994</v>
      </c>
      <c r="AS54" s="4">
        <v>9.4700000000000006</v>
      </c>
      <c r="AT54" s="4">
        <v>9.67</v>
      </c>
      <c r="AU54" s="4">
        <v>9.3849999999999998</v>
      </c>
      <c r="AV54" s="4">
        <v>9.25</v>
      </c>
      <c r="AW54" s="4">
        <v>9.01</v>
      </c>
      <c r="AX54" s="4">
        <v>8.99</v>
      </c>
      <c r="AY54" s="12">
        <v>9.0299999999999994</v>
      </c>
      <c r="AZ54" s="12">
        <v>9.17</v>
      </c>
      <c r="BA54" s="12">
        <v>9.16</v>
      </c>
      <c r="BB54" s="18">
        <v>9.1199999999999992</v>
      </c>
      <c r="BC54" s="63">
        <v>9.58</v>
      </c>
      <c r="BD54" s="63">
        <v>9.27</v>
      </c>
      <c r="BE54" s="63">
        <v>9.2799999999999994</v>
      </c>
      <c r="BF54" s="63">
        <v>9.01</v>
      </c>
      <c r="BG54" s="91" cm="1">
        <f t="array" aca="1" ref="BG54" ca="1">_FV(EE54,"Preço")</f>
        <v>9.3800000000000008</v>
      </c>
      <c r="BH54" s="93" t="s">
        <v>52</v>
      </c>
      <c r="BI54" s="32" cm="1">
        <f t="array" aca="1" ref="BI54" ca="1">_FV(EE54,"Beta")</f>
        <v>0.5907</v>
      </c>
      <c r="BJ54" s="96" cm="1">
        <f t="array" aca="1" ref="BJ54" ca="1">_FV(EE54,"Variação (%)",TRUE)</f>
        <v>-1.367E-2</v>
      </c>
      <c r="BK54" s="49"/>
      <c r="BL54" s="49"/>
      <c r="BN54" s="32"/>
      <c r="BO54" s="20" cm="1">
        <f t="array" aca="1" ref="BO54" ca="1">_FV(EE54,"Baixo")</f>
        <v>9.31</v>
      </c>
      <c r="BP54" s="20" cm="1">
        <f t="array" aca="1" ref="BP54" ca="1">_FV(EE54,"Alto")</f>
        <v>9.5500000000000007</v>
      </c>
      <c r="BQ54" s="32"/>
      <c r="BR54" s="74">
        <f ca="1">SQRT(22.5*(BG54/VLOOKUP(BH54,Fundamentus!A:U,3,FALSE))*(BG54/VLOOKUP(BH54,Fundamentus!A:U,4,FALSE)))</f>
        <v>18.778370058258194</v>
      </c>
      <c r="BT54" s="73">
        <f t="shared" ca="1" si="0"/>
        <v>4.1065482796892455E-2</v>
      </c>
      <c r="BU54" s="36">
        <f t="shared" si="1"/>
        <v>-0.11025886864813043</v>
      </c>
      <c r="BV54" s="8"/>
      <c r="BW54" s="72">
        <f t="shared" si="2"/>
        <v>8.2200000000000006</v>
      </c>
      <c r="BX54" s="72">
        <f t="shared" si="3"/>
        <v>9.8680172413793095</v>
      </c>
      <c r="BY54" s="72">
        <f t="shared" si="4"/>
        <v>11.28</v>
      </c>
      <c r="BZ54" s="17"/>
      <c r="CA54" s="17"/>
      <c r="CB54" s="43">
        <f t="shared" si="5"/>
        <v>8.4658383263854091</v>
      </c>
      <c r="CC54" s="18">
        <f t="shared" si="6"/>
        <v>8.8694470477976211</v>
      </c>
      <c r="CD54" s="43">
        <f t="shared" si="7"/>
        <v>9.273055769209833</v>
      </c>
      <c r="CE54" s="98">
        <f t="shared" ca="1" si="8"/>
        <v>1.2649700690707919</v>
      </c>
      <c r="CF54" s="17"/>
      <c r="CG54" s="20">
        <f t="shared" si="9"/>
        <v>4.6666666666666661</v>
      </c>
      <c r="CH54" s="20">
        <f t="shared" si="10"/>
        <v>6.4433333333333334</v>
      </c>
      <c r="CI54" s="20">
        <f t="shared" si="11"/>
        <v>7.7266666666666648</v>
      </c>
      <c r="CJ54" s="49">
        <f t="shared" si="12"/>
        <v>9.5033333333333321</v>
      </c>
      <c r="CK54" s="20">
        <f t="shared" si="13"/>
        <v>10.786666666666664</v>
      </c>
      <c r="CL54" s="20">
        <f t="shared" si="14"/>
        <v>12.563333333333331</v>
      </c>
      <c r="CM54" s="20">
        <f t="shared" si="15"/>
        <v>13.846666666666662</v>
      </c>
      <c r="CN54" s="2" cm="1">
        <f t="array" aca="1" ref="CN54" ca="1">MAX(_xlfn._xlws.FILTER(CG54:CM54,CG54:CM54&lt;BG54))</f>
        <v>7.7266666666666648</v>
      </c>
      <c r="CO54" s="2" cm="1">
        <f t="array" aca="1" ref="CO54" ca="1">MIN(_xlfn._xlws.FILTER($CG54:$CM54,$CG54:$CM54&gt;BG54))</f>
        <v>9.5033333333333321</v>
      </c>
      <c r="CP54" s="19">
        <f t="shared" ca="1" si="82"/>
        <v>0.22993960310612604</v>
      </c>
      <c r="CQ54" s="23">
        <f t="shared" ca="1" si="83"/>
        <v>-0.11496980155306302</v>
      </c>
      <c r="CR54" s="23">
        <f t="shared" ca="1" si="84"/>
        <v>-7.6646534368708677E-2</v>
      </c>
      <c r="CS54" s="23">
        <f t="shared" ca="1" si="85"/>
        <v>-4.5987920621225212E-2</v>
      </c>
      <c r="CT54" s="23">
        <f t="shared" ca="1" si="86"/>
        <v>-2.554884478956956E-2</v>
      </c>
      <c r="CU54" s="23">
        <f t="shared" ca="1" si="87"/>
        <v>-1.3525859006242709E-2</v>
      </c>
      <c r="CV54" s="23">
        <f t="shared" ca="1" si="88"/>
        <v>-6.9678667607916984E-3</v>
      </c>
      <c r="CW54" s="23">
        <f t="shared" ca="1" si="89"/>
        <v>-3.5375323554788624E-3</v>
      </c>
      <c r="CX54" s="24">
        <f t="shared" ca="1" si="90"/>
        <v>3.5375323554788624E-3</v>
      </c>
      <c r="CY54" s="24">
        <f t="shared" ca="1" si="91"/>
        <v>6.9678667607916984E-3</v>
      </c>
      <c r="CZ54" s="24">
        <f t="shared" ca="1" si="92"/>
        <v>1.3525859006242709E-2</v>
      </c>
      <c r="DA54" s="24">
        <f t="shared" ca="1" si="93"/>
        <v>2.554884478956956E-2</v>
      </c>
      <c r="DB54" s="24">
        <f t="shared" ca="1" si="94"/>
        <v>4.5987920621225212E-2</v>
      </c>
      <c r="DC54" s="24">
        <f t="shared" ca="1" si="95"/>
        <v>7.6646534368708677E-2</v>
      </c>
      <c r="DD54" s="24">
        <f t="shared" ca="1" si="96"/>
        <v>0.11496980155306302</v>
      </c>
      <c r="DF54" s="19" cm="1">
        <f t="array" aca="1" ref="DF54" ca="1">MAX(_xlfn._xlws.FILTER(CQ54:DD54,CQ54:DD54&lt;BJ54))</f>
        <v>-2.554884478956956E-2</v>
      </c>
      <c r="DG54" s="19" cm="1">
        <f t="array" aca="1" ref="DG54" ca="1">MIN(_xlfn._xlws.FILTER(CQ54:DD54,CQ54:DD54&gt;BJ54))</f>
        <v>-1.3525859006242709E-2</v>
      </c>
      <c r="DH54" s="2" cm="1">
        <f t="array" aca="1" ref="DH54" ca="1">_FV(EE54,"Fechamento anterior",TRUE)</f>
        <v>9.51</v>
      </c>
      <c r="DI54" s="36">
        <f t="shared" ca="1" si="22"/>
        <v>0.98802608294222094</v>
      </c>
      <c r="DJ54" s="18">
        <f t="shared" ca="1" si="97"/>
        <v>9.2670304860511941</v>
      </c>
      <c r="DK54" s="18">
        <f t="shared" ca="1" si="98"/>
        <v>9.3813690808506323</v>
      </c>
      <c r="DL54" s="9"/>
      <c r="DM54" s="9"/>
      <c r="DN54" s="9"/>
      <c r="DO54" s="9"/>
      <c r="DP54" s="79">
        <v>2.0035869843709943E-2</v>
      </c>
      <c r="DQ54" s="79">
        <v>2.2417756468486654E-3</v>
      </c>
      <c r="DR54" s="79">
        <v>7.8572038602784094E-3</v>
      </c>
      <c r="DS54" s="79">
        <f t="shared" ca="1" si="25"/>
        <v>1.2022985783326851E-2</v>
      </c>
      <c r="DT54" s="47"/>
      <c r="DU54" s="43">
        <f t="shared" si="26"/>
        <v>0.20180436070610577</v>
      </c>
      <c r="DV54" s="83">
        <f t="shared" ca="1" si="27"/>
        <v>1.0167999999999999</v>
      </c>
      <c r="DW54" s="83">
        <f t="shared" ca="1" si="28"/>
        <v>1.9577</v>
      </c>
      <c r="DX54" s="83">
        <f t="shared" ca="1" si="29"/>
        <v>-0.94090000000000007</v>
      </c>
      <c r="DY54" s="67"/>
      <c r="DZ54" s="67"/>
      <c r="EA54" s="85"/>
      <c r="EB54" s="44">
        <v>114800</v>
      </c>
      <c r="EC54" s="44" cm="1">
        <f t="array" aca="1" ref="EC54" ca="1">_FV(EE54,"Volume")</f>
        <v>164400</v>
      </c>
      <c r="EE54" s="2" t="e" vm="54">
        <v>#VALUE!</v>
      </c>
      <c r="EG54" s="10" cm="1">
        <f t="array" aca="1" ref="EG54" ca="1">_FV(EE54,"Ações em circulação",TRUE)</f>
        <v>93170750</v>
      </c>
      <c r="EH54" s="21">
        <f>VLOOKUP(BH54,Fundamentus!A:U,5,FALSE)</f>
        <v>0.66100000000000003</v>
      </c>
      <c r="EI54" s="2">
        <f t="shared" ca="1" si="30"/>
        <v>1322150733.7367625</v>
      </c>
      <c r="EJ54" s="20">
        <v>105917805.37897125</v>
      </c>
      <c r="EK54" s="20">
        <f t="shared" ca="1" si="31"/>
        <v>110267371.193646</v>
      </c>
      <c r="EM54" s="40" t="str">
        <f>IF(VLOOKUP(BH54,Fundamentus!A:U,3,FALSE)&lt;15,"Bom",IF(VLOOKUP(BH54,Fundamentus!A:U,3,FALSE)&gt;15,"Ruim","n/a"))</f>
        <v>Bom</v>
      </c>
      <c r="EN54" s="36" t="str">
        <f>IF(VLOOKUP(BH54,Fundamentus!A:U,4,FALSE)&lt;1,"Baixo",IF(VLOOKUP(BH54,Fundamentus!A:U,4,FALSE)&lt;1.5,"Moderado",IF(VLOOKUP(BH54,Fundamentus!A:U,4,FALSE)&gt;1.5,"Alto","n/a")))</f>
        <v>Baixo</v>
      </c>
      <c r="EO54" s="20" t="str">
        <f>IF(VLOOKUP(BH54,Fundamentus!A:U,8,FALSE)&lt;0,"Risco elevado",IF(VLOOKUP(BH54,Fundamentus!A:U,8,FALSE)&lt;1,"Saudável",IF(VLOOKUP(BH54,Fundamentus!A:U,8,FALSE)&lt;3,"Estável",IF(VLOOKUP(BH54,Fundamentus!A:U,8,FALSE)&gt;3,"Alerta","n/a"))))</f>
        <v>Estável</v>
      </c>
      <c r="EP54" s="36" t="str">
        <f t="shared" si="32"/>
        <v>Ruim</v>
      </c>
      <c r="EQ54" s="20" t="str">
        <f>IF(VLOOKUP(BH54,Fundamentus!A:U,12,FALSE)&lt;2,"Subvalorizada",IF(VLOOKUP(BH54,Fundamentus!A:U,12,FALSE)&lt;6,"Muita barata",IF(VLOOKUP(BH54,Fundamentus!A:U,12,FALSE)&lt;6,"Barata",IF(VLOOKUP(BH54,Fundamentus!A:U,12,FALSE)&lt;8,"Atrativa",IF(VLOOKUP(BH54,Fundamentus!A:U,12,FALSE)&gt;8,"Supervalorizada","n/a")))))</f>
        <v>Supervalorizada</v>
      </c>
      <c r="ES54" s="20" t="str">
        <f>IF(VLOOKUP(BH54,Fundamentus!A:U,17,FALSE)&lt;0.1,"Fraco retorno",IF(VLOOKUP(BH54,Fundamentus!A:U,17,FALSE)&gt;0.1,"Bom retorno","n/a"))</f>
        <v>Fraco retorno</v>
      </c>
      <c r="ET54" s="20" t="str">
        <f>IF(VLOOKUP(BH54,Fundamentus!A:U,16,FALSE)&lt;0.1,"Ineficiente",IF(VLOOKUP(BH54,Fundamentus!A:U,16,FALSE)&gt;0.1,"Eficiente","n/a"))</f>
        <v>Ineficiente</v>
      </c>
      <c r="EU54" s="41" t="str">
        <f>IF(VLOOKUP(BH54,Fundamentus!A:U,16,FALSE)&lt;0.1,"Oper. Ineficiente",IF(VLOOKUP(BH54,Fundamentus!A:U,16,FALSE)&gt;0.1,"Oper.Eficiente","n/a"))</f>
        <v>Oper. Ineficiente</v>
      </c>
      <c r="EV54" s="42">
        <f>VLOOKUP(BH54,Fundamentus!A:U,14,FALSE)</f>
        <v>8.3400000000000002E-2</v>
      </c>
      <c r="EW54" s="20" t="str">
        <f>IF(VLOOKUP(BH54,Fundamentus!A:U,21,FALSE)&lt;0,"Negativo",IF(VLOOKUP(BH54,Fundamentus!A:U,21,FALSE)&lt;0.05,"Fraco",IF(VLOOKUP(BH54,Fundamentus!A:U,21,FALSE)&lt;0.1,"Bom",IF(VLOOKUP(BH54,Fundamentus!A:U,21,FALSE)&gt;0.1,"Muito bom","n/a"))))</f>
        <v>Fraco</v>
      </c>
      <c r="EY54" s="37" t="str">
        <f>IF(VLOOKUP(BH54,Fundamentus!A:U,15,FALSE)&gt;1,"Bom",IF(VLOOKUP(BH54,Fundamentus!A:U,15,FALSE)&lt;1,"Ruim","n/a"))</f>
        <v>Bom</v>
      </c>
      <c r="EZ54" s="20" t="str">
        <f>IF(VLOOKUP(BH54,Fundamentus!A:U,20,FALSE)&lt;0.5,"Baixa",IF(VLOOKUP(BH54,Fundamentus!A:U,20,FALSE)&lt;1,"Moderada",IF(VLOOKUP(BH54,Fundamentus!A:U,20,FALSE)&lt;2,"Alerta",IF(VLOOKUP(BH54,Fundamentus!A:U,20,FALSE)&gt;2,"Alta","n/a"))))</f>
        <v>Moderada</v>
      </c>
    </row>
    <row r="55" spans="1:156" s="2" customFormat="1" ht="11.25" hidden="1" x14ac:dyDescent="0.2">
      <c r="A55" s="4">
        <v>12.27</v>
      </c>
      <c r="B55" s="4">
        <v>11.75</v>
      </c>
      <c r="C55" s="4">
        <v>11.7</v>
      </c>
      <c r="D55" s="4">
        <v>11.8</v>
      </c>
      <c r="E55" s="4">
        <v>11.5</v>
      </c>
      <c r="F55" s="4">
        <v>11.29</v>
      </c>
      <c r="G55" s="4">
        <v>11.19</v>
      </c>
      <c r="H55" s="4">
        <v>11.33</v>
      </c>
      <c r="I55" s="4">
        <v>11.45</v>
      </c>
      <c r="J55" s="4">
        <v>11.64</v>
      </c>
      <c r="K55" s="4">
        <v>11.83</v>
      </c>
      <c r="L55" s="4">
        <v>11.47</v>
      </c>
      <c r="M55" s="4">
        <v>11.33</v>
      </c>
      <c r="N55" s="4">
        <v>11.61</v>
      </c>
      <c r="O55" s="4">
        <v>11.82</v>
      </c>
      <c r="P55" s="4">
        <v>11.61</v>
      </c>
      <c r="Q55" s="4">
        <v>12.01</v>
      </c>
      <c r="R55" s="4">
        <v>11.88</v>
      </c>
      <c r="S55" s="4">
        <v>11.88</v>
      </c>
      <c r="T55" s="4">
        <v>11.82</v>
      </c>
      <c r="U55" s="4">
        <v>11.51</v>
      </c>
      <c r="V55" s="4">
        <v>11.44</v>
      </c>
      <c r="W55" s="4">
        <v>11.47</v>
      </c>
      <c r="X55" s="4">
        <v>11.52</v>
      </c>
      <c r="Y55" s="4">
        <v>11.47</v>
      </c>
      <c r="Z55" s="4">
        <v>11.48</v>
      </c>
      <c r="AA55" s="4">
        <v>11.52</v>
      </c>
      <c r="AB55" s="4">
        <v>11.74</v>
      </c>
      <c r="AC55" s="4">
        <v>11.33</v>
      </c>
      <c r="AD55" s="4">
        <v>11.45</v>
      </c>
      <c r="AE55" s="4">
        <v>11.38</v>
      </c>
      <c r="AF55" s="4">
        <v>11.46</v>
      </c>
      <c r="AG55" s="4">
        <v>11.31</v>
      </c>
      <c r="AH55" s="4">
        <v>10.99</v>
      </c>
      <c r="AI55" s="4">
        <v>11.06</v>
      </c>
      <c r="AJ55" s="4">
        <v>10.9</v>
      </c>
      <c r="AK55" s="4">
        <v>10.97</v>
      </c>
      <c r="AL55" s="4">
        <v>11.02</v>
      </c>
      <c r="AM55" s="4">
        <v>10.77</v>
      </c>
      <c r="AN55" s="4">
        <v>11.28</v>
      </c>
      <c r="AO55" s="4">
        <v>11.08</v>
      </c>
      <c r="AP55" s="4">
        <v>11.11</v>
      </c>
      <c r="AQ55" s="4">
        <v>11</v>
      </c>
      <c r="AR55" s="4">
        <v>10.97</v>
      </c>
      <c r="AS55" s="4">
        <v>11.1</v>
      </c>
      <c r="AT55" s="4">
        <v>11.35</v>
      </c>
      <c r="AU55" s="4">
        <v>11.57</v>
      </c>
      <c r="AV55" s="4">
        <v>11.37</v>
      </c>
      <c r="AW55" s="4">
        <v>11.4</v>
      </c>
      <c r="AX55" s="4">
        <v>11.4</v>
      </c>
      <c r="AY55" s="12">
        <v>11.5</v>
      </c>
      <c r="AZ55" s="12">
        <v>11.94</v>
      </c>
      <c r="BA55" s="12">
        <v>11.96</v>
      </c>
      <c r="BB55" s="18">
        <v>11.93</v>
      </c>
      <c r="BC55" s="63">
        <v>11.84</v>
      </c>
      <c r="BD55" s="63">
        <v>11.85</v>
      </c>
      <c r="BE55" s="63">
        <v>11.81</v>
      </c>
      <c r="BF55" s="63">
        <v>11.5</v>
      </c>
      <c r="BG55" s="91" cm="1">
        <f t="array" aca="1" ref="BG55" ca="1">_FV(EE55,"Preço")</f>
        <v>11.36</v>
      </c>
      <c r="BH55" s="93" t="s">
        <v>53</v>
      </c>
      <c r="BI55" s="32" cm="1">
        <f t="array" aca="1" ref="BI55" ca="1">_FV(EE55,"Beta")</f>
        <v>0.68859999999999999</v>
      </c>
      <c r="BJ55" s="96" cm="1">
        <f t="array" aca="1" ref="BJ55" ca="1">_FV(EE55,"Variação (%)",TRUE)</f>
        <v>8.810999999999999E-4</v>
      </c>
      <c r="BK55" s="49"/>
      <c r="BL55" s="49"/>
      <c r="BN55" s="32"/>
      <c r="BO55" s="20" cm="1">
        <f t="array" aca="1" ref="BO55" ca="1">_FV(EE55,"Baixo")</f>
        <v>11.24</v>
      </c>
      <c r="BP55" s="20" cm="1">
        <f t="array" aca="1" ref="BP55" ca="1">_FV(EE55,"Alto")</f>
        <v>11.43</v>
      </c>
      <c r="BQ55" s="32"/>
      <c r="BR55" s="74">
        <f ca="1">SQRT(22.5*(BG55/VLOOKUP(BH55,Fundamentus!A:U,3,FALSE))*(BG55/VLOOKUP(BH55,Fundamentus!A:U,4,FALSE)))</f>
        <v>15.87325822318361</v>
      </c>
      <c r="BT55" s="73">
        <f t="shared" ca="1" si="0"/>
        <v>-1.2173913043478311E-2</v>
      </c>
      <c r="BU55" s="36">
        <f t="shared" si="1"/>
        <v>-3.7489812550937168E-2</v>
      </c>
      <c r="BV55" s="8"/>
      <c r="BW55" s="72">
        <f t="shared" si="2"/>
        <v>10.77</v>
      </c>
      <c r="BX55" s="72">
        <f t="shared" si="3"/>
        <v>11.481551724137931</v>
      </c>
      <c r="BY55" s="72">
        <f t="shared" si="4"/>
        <v>12.27</v>
      </c>
      <c r="BZ55" s="17"/>
      <c r="CA55" s="17"/>
      <c r="CB55" s="43">
        <f t="shared" si="5"/>
        <v>11.206969155704559</v>
      </c>
      <c r="CC55" s="18">
        <f t="shared" si="6"/>
        <v>11.497141518275498</v>
      </c>
      <c r="CD55" s="43">
        <f t="shared" si="7"/>
        <v>11.787313880846437</v>
      </c>
      <c r="CE55" s="98">
        <f t="shared" ca="1" si="8"/>
        <v>-0.47262088318963041</v>
      </c>
      <c r="CF55" s="17"/>
      <c r="CG55" s="20">
        <f t="shared" si="9"/>
        <v>9.2566666666666677</v>
      </c>
      <c r="CH55" s="20">
        <f t="shared" si="10"/>
        <v>10.013333333333334</v>
      </c>
      <c r="CI55" s="20">
        <f t="shared" si="11"/>
        <v>10.756666666666668</v>
      </c>
      <c r="CJ55" s="49">
        <f t="shared" si="12"/>
        <v>11.513333333333334</v>
      </c>
      <c r="CK55" s="20">
        <f t="shared" si="13"/>
        <v>12.256666666666668</v>
      </c>
      <c r="CL55" s="20">
        <f t="shared" si="14"/>
        <v>13.013333333333334</v>
      </c>
      <c r="CM55" s="20">
        <f t="shared" si="15"/>
        <v>13.756666666666668</v>
      </c>
      <c r="CN55" s="2" cm="1">
        <f t="array" aca="1" ref="CN55" ca="1">MAX(_xlfn._xlws.FILTER(CG55:CM55,CG55:CM55&lt;BG55))</f>
        <v>10.756666666666668</v>
      </c>
      <c r="CO55" s="2" cm="1">
        <f t="array" aca="1" ref="CO55" ca="1">MIN(_xlfn._xlws.FILTER($CG55:$CM55,$CG55:$CM55&gt;BG55))</f>
        <v>11.513333333333334</v>
      </c>
      <c r="CP55" s="19">
        <f t="shared" ca="1" si="82"/>
        <v>7.0343972730089854E-2</v>
      </c>
      <c r="CQ55" s="23">
        <f t="shared" ca="1" si="83"/>
        <v>-3.5171986365044927E-2</v>
      </c>
      <c r="CR55" s="23">
        <f t="shared" ca="1" si="84"/>
        <v>-2.3447990910029953E-2</v>
      </c>
      <c r="CS55" s="23">
        <f t="shared" ca="1" si="85"/>
        <v>-1.4068794546017971E-2</v>
      </c>
      <c r="CT55" s="23">
        <f t="shared" ca="1" si="86"/>
        <v>-7.8159969700099842E-3</v>
      </c>
      <c r="CU55" s="23">
        <f t="shared" ca="1" si="87"/>
        <v>-4.137880748828815E-3</v>
      </c>
      <c r="CV55" s="23">
        <f t="shared" ca="1" si="88"/>
        <v>-2.13163553727545E-3</v>
      </c>
      <c r="CW55" s="23">
        <f t="shared" ca="1" si="89"/>
        <v>-1.0822149650783054E-3</v>
      </c>
      <c r="CX55" s="24">
        <f t="shared" ca="1" si="90"/>
        <v>1.0822149650783054E-3</v>
      </c>
      <c r="CY55" s="24">
        <f t="shared" ca="1" si="91"/>
        <v>2.13163553727545E-3</v>
      </c>
      <c r="CZ55" s="24">
        <f t="shared" ca="1" si="92"/>
        <v>4.137880748828815E-3</v>
      </c>
      <c r="DA55" s="24">
        <f t="shared" ca="1" si="93"/>
        <v>7.8159969700099842E-3</v>
      </c>
      <c r="DB55" s="24">
        <f t="shared" ca="1" si="94"/>
        <v>1.4068794546017971E-2</v>
      </c>
      <c r="DC55" s="24">
        <f t="shared" ca="1" si="95"/>
        <v>2.3447990910029953E-2</v>
      </c>
      <c r="DD55" s="24">
        <f t="shared" ca="1" si="96"/>
        <v>3.5171986365044927E-2</v>
      </c>
      <c r="DF55" s="19" cm="1">
        <f t="array" aca="1" ref="DF55" ca="1">MAX(_xlfn._xlws.FILTER(CQ55:DD55,CQ55:DD55&lt;BJ55))</f>
        <v>-1.0822149650783054E-3</v>
      </c>
      <c r="DG55" s="19" cm="1">
        <f t="array" aca="1" ref="DG55" ca="1">MIN(_xlfn._xlws.FILTER(CQ55:DD55,CQ55:DD55&gt;BJ55))</f>
        <v>1.0822149650783054E-3</v>
      </c>
      <c r="DH55" s="2" cm="1">
        <f t="array" aca="1" ref="DH55" ca="1">_FV(EE55,"Fechamento anterior",TRUE)</f>
        <v>11.35</v>
      </c>
      <c r="DI55" s="36">
        <f t="shared" ca="1" si="22"/>
        <v>0.90706204273323343</v>
      </c>
      <c r="DJ55" s="18">
        <f t="shared" ca="1" si="97"/>
        <v>11.337716860146362</v>
      </c>
      <c r="DK55" s="18">
        <f t="shared" ca="1" si="98"/>
        <v>11.362283139853638</v>
      </c>
      <c r="DL55" s="9"/>
      <c r="DM55" s="9"/>
      <c r="DN55" s="9"/>
      <c r="DO55" s="9"/>
      <c r="DP55" s="79">
        <v>1.1328235627301068E-2</v>
      </c>
      <c r="DQ55" s="79">
        <v>4.4424453440396333E-3</v>
      </c>
      <c r="DR55" s="79">
        <v>1.2653282656936236E-3</v>
      </c>
      <c r="DS55" s="79">
        <f t="shared" ca="1" si="25"/>
        <v>2.1644299301566109E-3</v>
      </c>
      <c r="DT55" s="47"/>
      <c r="DU55" s="43">
        <f t="shared" si="26"/>
        <v>0.14508618128546905</v>
      </c>
      <c r="DV55" s="83">
        <f t="shared" ca="1" si="27"/>
        <v>1.1147</v>
      </c>
      <c r="DW55" s="83">
        <f t="shared" ca="1" si="28"/>
        <v>0.60048999999999997</v>
      </c>
      <c r="DX55" s="83">
        <f t="shared" ca="1" si="29"/>
        <v>0.51421000000000006</v>
      </c>
      <c r="DY55" s="67"/>
      <c r="DZ55" s="67"/>
      <c r="EA55" s="85"/>
      <c r="EB55" s="44">
        <v>100600</v>
      </c>
      <c r="EC55" s="44" cm="1">
        <f t="array" aca="1" ref="EC55" ca="1">_FV(EE55,"Volume")</f>
        <v>108800</v>
      </c>
      <c r="EE55" s="2" t="e" vm="55">
        <v>#VALUE!</v>
      </c>
      <c r="EG55" s="10" cm="1">
        <f t="array" aca="1" ref="EG55" ca="1">_FV(EE55,"Ações em circulação",TRUE)</f>
        <v>344498900</v>
      </c>
      <c r="EH55" s="21">
        <f>VLOOKUP(BH55,Fundamentus!A:U,5,FALSE)</f>
        <v>2.9990000000000001</v>
      </c>
      <c r="EI55" s="2">
        <f t="shared" ca="1" si="30"/>
        <v>1304937480.4934978</v>
      </c>
      <c r="EJ55" s="20">
        <v>560772759.27809262</v>
      </c>
      <c r="EK55" s="20">
        <f t="shared" ca="1" si="31"/>
        <v>553945960.46948981</v>
      </c>
      <c r="EM55" s="40" t="str">
        <f>IF(VLOOKUP(BH55,Fundamentus!A:U,3,FALSE)&lt;15,"Bom",IF(VLOOKUP(BH55,Fundamentus!A:U,3,FALSE)&gt;15,"Ruim","n/a"))</f>
        <v>Bom</v>
      </c>
      <c r="EN55" s="36" t="str">
        <f>IF(VLOOKUP(BH55,Fundamentus!A:U,4,FALSE)&lt;1,"Baixo",IF(VLOOKUP(BH55,Fundamentus!A:U,4,FALSE)&lt;1.5,"Moderado",IF(VLOOKUP(BH55,Fundamentus!A:U,4,FALSE)&gt;1.5,"Alto","n/a")))</f>
        <v>Alto</v>
      </c>
      <c r="EO55" s="20" t="str">
        <f>IF(VLOOKUP(BH55,Fundamentus!A:U,8,FALSE)&lt;0,"Risco elevado",IF(VLOOKUP(BH55,Fundamentus!A:U,8,FALSE)&lt;1,"Saudável",IF(VLOOKUP(BH55,Fundamentus!A:U,8,FALSE)&lt;3,"Estável",IF(VLOOKUP(BH55,Fundamentus!A:U,8,FALSE)&gt;3,"Alerta","n/a"))))</f>
        <v>Alerta</v>
      </c>
      <c r="EP55" s="36" t="str">
        <f t="shared" si="32"/>
        <v>Bom</v>
      </c>
      <c r="EQ55" s="20" t="str">
        <f>IF(VLOOKUP(BH55,Fundamentus!A:U,12,FALSE)&lt;2,"Subvalorizada",IF(VLOOKUP(BH55,Fundamentus!A:U,12,FALSE)&lt;6,"Muita barata",IF(VLOOKUP(BH55,Fundamentus!A:U,12,FALSE)&lt;6,"Barata",IF(VLOOKUP(BH55,Fundamentus!A:U,12,FALSE)&lt;8,"Atrativa",IF(VLOOKUP(BH55,Fundamentus!A:U,12,FALSE)&gt;8,"Supervalorizada","n/a")))))</f>
        <v>Supervalorizada</v>
      </c>
      <c r="ES55" s="20" t="str">
        <f>IF(VLOOKUP(BH55,Fundamentus!A:U,17,FALSE)&lt;0.1,"Fraco retorno",IF(VLOOKUP(BH55,Fundamentus!A:U,17,FALSE)&gt;0.1,"Bom retorno","n/a"))</f>
        <v>Bom retorno</v>
      </c>
      <c r="ET55" s="20" t="str">
        <f>IF(VLOOKUP(BH55,Fundamentus!A:U,16,FALSE)&lt;0.1,"Ineficiente",IF(VLOOKUP(BH55,Fundamentus!A:U,16,FALSE)&gt;0.1,"Eficiente","n/a"))</f>
        <v>Eficiente</v>
      </c>
      <c r="EU55" s="41" t="str">
        <f>IF(VLOOKUP(BH55,Fundamentus!A:U,16,FALSE)&lt;0.1,"Oper. Ineficiente",IF(VLOOKUP(BH55,Fundamentus!A:U,16,FALSE)&gt;0.1,"Oper.Eficiente","n/a"))</f>
        <v>Oper.Eficiente</v>
      </c>
      <c r="EV55" s="42">
        <f>VLOOKUP(BH55,Fundamentus!A:U,14,FALSE)</f>
        <v>0.42449999999999999</v>
      </c>
      <c r="EW55" s="20" t="str">
        <f>IF(VLOOKUP(BH55,Fundamentus!A:U,21,FALSE)&lt;0,"Negativo",IF(VLOOKUP(BH55,Fundamentus!A:U,21,FALSE)&lt;0.05,"Fraco",IF(VLOOKUP(BH55,Fundamentus!A:U,21,FALSE)&lt;0.1,"Bom",IF(VLOOKUP(BH55,Fundamentus!A:U,21,FALSE)&gt;0.1,"Muito bom","n/a"))))</f>
        <v>Fraco</v>
      </c>
      <c r="EY55" s="37" t="str">
        <f>IF(VLOOKUP(BH55,Fundamentus!A:U,15,FALSE)&gt;1,"Bom",IF(VLOOKUP(BH55,Fundamentus!A:U,15,FALSE)&lt;1,"Ruim","n/a"))</f>
        <v>Bom</v>
      </c>
      <c r="EZ55" s="20" t="str">
        <f>IF(VLOOKUP(BH55,Fundamentus!A:U,20,FALSE)&lt;0.5,"Baixa",IF(VLOOKUP(BH55,Fundamentus!A:U,20,FALSE)&lt;1,"Moderada",IF(VLOOKUP(BH55,Fundamentus!A:U,20,FALSE)&lt;2,"Alerta",IF(VLOOKUP(BH55,Fundamentus!A:U,20,FALSE)&gt;2,"Alta","n/a"))))</f>
        <v>Alerta</v>
      </c>
    </row>
    <row r="56" spans="1:156" s="2" customFormat="1" ht="11.25" hidden="1" x14ac:dyDescent="0.2">
      <c r="A56" s="4">
        <v>21</v>
      </c>
      <c r="B56" s="4">
        <v>20.46</v>
      </c>
      <c r="C56" s="4">
        <v>20.74</v>
      </c>
      <c r="D56" s="4">
        <v>20.32</v>
      </c>
      <c r="E56" s="4">
        <v>19.649999999999999</v>
      </c>
      <c r="F56" s="4">
        <v>19.8</v>
      </c>
      <c r="G56" s="4">
        <v>19.77</v>
      </c>
      <c r="H56" s="4">
        <v>20.05</v>
      </c>
      <c r="I56" s="4">
        <v>20.6</v>
      </c>
      <c r="J56" s="4">
        <v>21.5</v>
      </c>
      <c r="K56" s="4">
        <v>22.78</v>
      </c>
      <c r="L56" s="4">
        <v>22.56</v>
      </c>
      <c r="M56" s="4">
        <v>22.58</v>
      </c>
      <c r="N56" s="4">
        <v>23.41</v>
      </c>
      <c r="O56" s="4">
        <v>23.58</v>
      </c>
      <c r="P56" s="4">
        <v>23.2</v>
      </c>
      <c r="Q56" s="4">
        <v>23.61</v>
      </c>
      <c r="R56" s="4">
        <v>21.85</v>
      </c>
      <c r="S56" s="4">
        <v>21.6</v>
      </c>
      <c r="T56" s="4">
        <v>21.16</v>
      </c>
      <c r="U56" s="4">
        <v>19.920000000000002</v>
      </c>
      <c r="V56" s="4">
        <v>20.07</v>
      </c>
      <c r="W56" s="4">
        <v>19.95</v>
      </c>
      <c r="X56" s="4">
        <v>19.13</v>
      </c>
      <c r="Y56" s="4">
        <v>18.760000000000002</v>
      </c>
      <c r="Z56" s="4">
        <v>19.22</v>
      </c>
      <c r="AA56" s="4">
        <v>19.45</v>
      </c>
      <c r="AB56" s="4">
        <v>19.45</v>
      </c>
      <c r="AC56" s="4">
        <v>20.11</v>
      </c>
      <c r="AD56" s="4">
        <v>20.16</v>
      </c>
      <c r="AE56" s="4">
        <v>19.45</v>
      </c>
      <c r="AF56" s="4">
        <v>19.2</v>
      </c>
      <c r="AG56" s="4">
        <v>19.010000000000002</v>
      </c>
      <c r="AH56" s="4">
        <v>18.190000000000001</v>
      </c>
      <c r="AI56" s="4">
        <v>17.850000000000001</v>
      </c>
      <c r="AJ56" s="4">
        <v>17.59</v>
      </c>
      <c r="AK56" s="4">
        <v>17.21</v>
      </c>
      <c r="AL56" s="4">
        <v>17.07</v>
      </c>
      <c r="AM56" s="4">
        <v>16.7</v>
      </c>
      <c r="AN56" s="4">
        <v>18.399999999999999</v>
      </c>
      <c r="AO56" s="4">
        <v>18.45</v>
      </c>
      <c r="AP56" s="4">
        <v>19.73</v>
      </c>
      <c r="AQ56" s="4">
        <v>18.07</v>
      </c>
      <c r="AR56" s="4">
        <v>16.93</v>
      </c>
      <c r="AS56" s="4">
        <v>17.87</v>
      </c>
      <c r="AT56" s="4">
        <v>18</v>
      </c>
      <c r="AU56" s="4">
        <v>17.995000000000001</v>
      </c>
      <c r="AV56" s="4">
        <v>16.98</v>
      </c>
      <c r="AW56" s="4">
        <v>17.07</v>
      </c>
      <c r="AX56" s="4">
        <v>17.77</v>
      </c>
      <c r="AY56" s="12">
        <v>18.88</v>
      </c>
      <c r="AZ56" s="12">
        <v>19.68</v>
      </c>
      <c r="BA56" s="12">
        <v>19.399999999999999</v>
      </c>
      <c r="BB56" s="18">
        <v>19.21</v>
      </c>
      <c r="BC56" s="63">
        <v>17.89</v>
      </c>
      <c r="BD56" s="63">
        <v>18.059999999999999</v>
      </c>
      <c r="BE56" s="63">
        <v>18.82</v>
      </c>
      <c r="BF56" s="63">
        <v>19.079999999999998</v>
      </c>
      <c r="BG56" s="91" cm="1">
        <f t="array" aca="1" ref="BG56" ca="1">_FV(EE56,"Preço")</f>
        <v>19.13</v>
      </c>
      <c r="BH56" s="93" t="s">
        <v>54</v>
      </c>
      <c r="BI56" s="32" cm="1">
        <f t="array" aca="1" ref="BI56" ca="1">_FV(EE56,"Beta")</f>
        <v>0.74150000000000005</v>
      </c>
      <c r="BJ56" s="96" cm="1">
        <f t="array" aca="1" ref="BJ56" ca="1">_FV(EE56,"Variação (%)",TRUE)</f>
        <v>4.7270000000000003E-3</v>
      </c>
      <c r="BK56" s="49"/>
      <c r="BL56" s="49"/>
      <c r="BN56" s="32"/>
      <c r="BO56" s="20" cm="1">
        <f t="array" aca="1" ref="BO56" ca="1">_FV(EE56,"Baixo")</f>
        <v>18.579999999999998</v>
      </c>
      <c r="BP56" s="20" cm="1">
        <f t="array" aca="1" ref="BP56" ca="1">_FV(EE56,"Alto")</f>
        <v>19.149999999999999</v>
      </c>
      <c r="BQ56" s="32"/>
      <c r="BR56" s="74" t="e">
        <f ca="1">SQRT(22.5*(BG56/VLOOKUP(BH56,Fundamentus!A:U,3,FALSE))*(BG56/VLOOKUP(BH56,Fundamentus!A:U,4,FALSE)))</f>
        <v>#NUM!</v>
      </c>
      <c r="BT56" s="73">
        <f t="shared" ca="1" si="0"/>
        <v>2.6205450733752995E-3</v>
      </c>
      <c r="BU56" s="36">
        <f t="shared" si="1"/>
        <v>-0.1038095238095238</v>
      </c>
      <c r="BV56" s="8"/>
      <c r="BW56" s="72">
        <f t="shared" si="2"/>
        <v>16.7</v>
      </c>
      <c r="BX56" s="72">
        <f t="shared" si="3"/>
        <v>19.603362068965527</v>
      </c>
      <c r="BY56" s="72">
        <f t="shared" si="4"/>
        <v>23.61</v>
      </c>
      <c r="BZ56" s="17"/>
      <c r="CA56" s="17"/>
      <c r="CB56" s="43">
        <f t="shared" si="5"/>
        <v>18.509597334955938</v>
      </c>
      <c r="CC56" s="18">
        <f t="shared" si="6"/>
        <v>19.509034676663759</v>
      </c>
      <c r="CD56" s="43">
        <f t="shared" si="7"/>
        <v>20.508472018371581</v>
      </c>
      <c r="CE56" s="98">
        <f t="shared" ca="1" si="8"/>
        <v>-0.37924806373161168</v>
      </c>
      <c r="CF56" s="17"/>
      <c r="CG56" s="20">
        <f t="shared" si="9"/>
        <v>9.0733333333333341</v>
      </c>
      <c r="CH56" s="20">
        <f t="shared" si="10"/>
        <v>12.886666666666667</v>
      </c>
      <c r="CI56" s="20">
        <f t="shared" si="11"/>
        <v>15.983333333333334</v>
      </c>
      <c r="CJ56" s="49">
        <f t="shared" si="12"/>
        <v>19.796666666666667</v>
      </c>
      <c r="CK56" s="20">
        <f t="shared" si="13"/>
        <v>22.893333333333334</v>
      </c>
      <c r="CL56" s="20">
        <f t="shared" si="14"/>
        <v>26.706666666666667</v>
      </c>
      <c r="CM56" s="20">
        <f t="shared" si="15"/>
        <v>29.803333333333335</v>
      </c>
      <c r="CN56" s="2" cm="1">
        <f t="array" aca="1" ref="CN56" ca="1">MAX(_xlfn._xlws.FILTER(CG56:CM56,CG56:CM56&lt;BG56))</f>
        <v>15.983333333333334</v>
      </c>
      <c r="CO56" s="2" cm="1">
        <f t="array" aca="1" ref="CO56" ca="1">MIN(_xlfn._xlws.FILTER($CG56:$CM56,$CG56:$CM56&gt;BG56))</f>
        <v>19.796666666666667</v>
      </c>
      <c r="CP56" s="19">
        <f t="shared" ca="1" si="82"/>
        <v>0.23858185610010429</v>
      </c>
      <c r="CQ56" s="23">
        <f t="shared" ca="1" si="83"/>
        <v>-0.11929092805005215</v>
      </c>
      <c r="CR56" s="23">
        <f t="shared" ca="1" si="84"/>
        <v>-7.9527285366701436E-2</v>
      </c>
      <c r="CS56" s="23">
        <f t="shared" ca="1" si="85"/>
        <v>-4.7716371220020856E-2</v>
      </c>
      <c r="CT56" s="23">
        <f t="shared" ca="1" si="86"/>
        <v>-2.650909512223381E-2</v>
      </c>
      <c r="CU56" s="23">
        <f t="shared" ca="1" si="87"/>
        <v>-1.4034226829417899E-2</v>
      </c>
      <c r="CV56" s="23">
        <f t="shared" ca="1" si="88"/>
        <v>-7.2297532151546755E-3</v>
      </c>
      <c r="CW56" s="23">
        <f t="shared" ca="1" si="89"/>
        <v>-3.6704900938477583E-3</v>
      </c>
      <c r="CX56" s="24">
        <f t="shared" ca="1" si="90"/>
        <v>3.6704900938477583E-3</v>
      </c>
      <c r="CY56" s="24">
        <f t="shared" ca="1" si="91"/>
        <v>7.2297532151546755E-3</v>
      </c>
      <c r="CZ56" s="24">
        <f t="shared" ca="1" si="92"/>
        <v>1.4034226829417899E-2</v>
      </c>
      <c r="DA56" s="24">
        <f t="shared" ca="1" si="93"/>
        <v>2.650909512223381E-2</v>
      </c>
      <c r="DB56" s="24">
        <f t="shared" ca="1" si="94"/>
        <v>4.7716371220020856E-2</v>
      </c>
      <c r="DC56" s="24">
        <f t="shared" ca="1" si="95"/>
        <v>7.9527285366701436E-2</v>
      </c>
      <c r="DD56" s="24">
        <f t="shared" ca="1" si="96"/>
        <v>0.11929092805005215</v>
      </c>
      <c r="DF56" s="19" cm="1">
        <f t="array" aca="1" ref="DF56" ca="1">MAX(_xlfn._xlws.FILTER(CQ56:DD56,CQ56:DD56&lt;BJ56))</f>
        <v>3.6704900938477583E-3</v>
      </c>
      <c r="DG56" s="19" cm="1">
        <f t="array" aca="1" ref="DG56" ca="1">MIN(_xlfn._xlws.FILTER(CQ56:DD56,CQ56:DD56&gt;BJ56))</f>
        <v>7.2297532151546755E-3</v>
      </c>
      <c r="DH56" s="2" cm="1">
        <f t="array" aca="1" ref="DH56" ca="1">_FV(EE56,"Fechamento anterior",TRUE)</f>
        <v>19.04</v>
      </c>
      <c r="DI56" s="36">
        <f t="shared" ca="1" si="22"/>
        <v>0.29680319393380755</v>
      </c>
      <c r="DJ56" s="18">
        <f t="shared" ca="1" si="97"/>
        <v>19.109886131386862</v>
      </c>
      <c r="DK56" s="18">
        <f t="shared" ca="1" si="98"/>
        <v>19.177654501216544</v>
      </c>
      <c r="DL56" s="9"/>
      <c r="DM56" s="9"/>
      <c r="DN56" s="9"/>
      <c r="DO56" s="9"/>
      <c r="DP56" s="79">
        <v>9.611465104803589E-3</v>
      </c>
      <c r="DQ56" s="79">
        <v>9.611465104803589E-3</v>
      </c>
      <c r="DR56" s="79">
        <v>5.2426173298928654E-3</v>
      </c>
      <c r="DS56" s="79">
        <f t="shared" ca="1" si="25"/>
        <v>3.5592631213069172E-3</v>
      </c>
      <c r="DT56" s="47"/>
      <c r="DU56" s="43">
        <f t="shared" si="26"/>
        <v>0.49971867085391114</v>
      </c>
      <c r="DV56" s="83">
        <f t="shared" ca="1" si="27"/>
        <v>1.1676</v>
      </c>
      <c r="DW56" s="83">
        <f t="shared" ca="1" si="28"/>
        <v>0.26880000000000004</v>
      </c>
      <c r="DX56" s="83">
        <f t="shared" ca="1" si="29"/>
        <v>0.89879999999999993</v>
      </c>
      <c r="DY56" s="67"/>
      <c r="DZ56" s="67"/>
      <c r="EA56" s="85"/>
      <c r="EB56" s="44">
        <v>9252900</v>
      </c>
      <c r="EC56" s="44" cm="1">
        <f t="array" aca="1" ref="EC56" ca="1">_FV(EE56,"Volume")</f>
        <v>6427300</v>
      </c>
      <c r="EE56" s="2" t="e" vm="56">
        <v>#VALUE!</v>
      </c>
      <c r="EG56" s="10" cm="1">
        <f t="array" aca="1" ref="EG56" ca="1">_FV(EE56,"Ações em circulação",TRUE)</f>
        <v>1854869000</v>
      </c>
      <c r="EH56" s="21">
        <f>VLOOKUP(BH56,Fundamentus!A:U,5,FALSE)</f>
        <v>2.597</v>
      </c>
      <c r="EI56" s="2">
        <f t="shared" ca="1" si="30"/>
        <v>13663320743.165192</v>
      </c>
      <c r="EJ56" s="20">
        <v>-1400918203.1020408</v>
      </c>
      <c r="EK56" s="20">
        <f t="shared" ca="1" si="31"/>
        <v>-1404589372.3973818</v>
      </c>
      <c r="EM56" s="40" t="str">
        <f>IF(VLOOKUP(BH56,Fundamentus!A:U,3,FALSE)&lt;15,"Bom",IF(VLOOKUP(BH56,Fundamentus!A:U,3,FALSE)&gt;15,"Ruim","n/a"))</f>
        <v>Bom</v>
      </c>
      <c r="EN56" s="36" t="str">
        <f>IF(VLOOKUP(BH56,Fundamentus!A:U,4,FALSE)&lt;1,"Baixo",IF(VLOOKUP(BH56,Fundamentus!A:U,4,FALSE)&lt;1.5,"Moderado",IF(VLOOKUP(BH56,Fundamentus!A:U,4,FALSE)&gt;1.5,"Alto","n/a")))</f>
        <v>Alto</v>
      </c>
      <c r="EO56" s="20" t="str">
        <f>IF(VLOOKUP(BH56,Fundamentus!A:U,8,FALSE)&lt;0,"Risco elevado",IF(VLOOKUP(BH56,Fundamentus!A:U,8,FALSE)&lt;1,"Saudável",IF(VLOOKUP(BH56,Fundamentus!A:U,8,FALSE)&lt;3,"Estável",IF(VLOOKUP(BH56,Fundamentus!A:U,8,FALSE)&gt;3,"Alerta","n/a"))))</f>
        <v>Alerta</v>
      </c>
      <c r="EP56" s="36" t="str">
        <f t="shared" si="32"/>
        <v>Bom</v>
      </c>
      <c r="EQ56" s="20" t="str">
        <f>IF(VLOOKUP(BH56,Fundamentus!A:U,12,FALSE)&lt;2,"Subvalorizada",IF(VLOOKUP(BH56,Fundamentus!A:U,12,FALSE)&lt;6,"Muita barata",IF(VLOOKUP(BH56,Fundamentus!A:U,12,FALSE)&lt;6,"Barata",IF(VLOOKUP(BH56,Fundamentus!A:U,12,FALSE)&lt;8,"Atrativa",IF(VLOOKUP(BH56,Fundamentus!A:U,12,FALSE)&gt;8,"Supervalorizada","n/a")))))</f>
        <v>Muita barata</v>
      </c>
      <c r="ES56" s="20" t="str">
        <f>IF(VLOOKUP(BH56,Fundamentus!A:U,17,FALSE)&lt;0.1,"Fraco retorno",IF(VLOOKUP(BH56,Fundamentus!A:U,17,FALSE)&gt;0.1,"Bom retorno","n/a"))</f>
        <v>Fraco retorno</v>
      </c>
      <c r="ET56" s="20" t="str">
        <f>IF(VLOOKUP(BH56,Fundamentus!A:U,16,FALSE)&lt;0.1,"Ineficiente",IF(VLOOKUP(BH56,Fundamentus!A:U,16,FALSE)&gt;0.1,"Eficiente","n/a"))</f>
        <v>Eficiente</v>
      </c>
      <c r="EU56" s="41" t="str">
        <f>IF(VLOOKUP(BH56,Fundamentus!A:U,16,FALSE)&lt;0.1,"Oper. Ineficiente",IF(VLOOKUP(BH56,Fundamentus!A:U,16,FALSE)&gt;0.1,"Oper.Eficiente","n/a"))</f>
        <v>Oper.Eficiente</v>
      </c>
      <c r="EV56" s="42">
        <f>VLOOKUP(BH56,Fundamentus!A:U,14,FALSE)</f>
        <v>-0.1028</v>
      </c>
      <c r="EW56" s="20" t="str">
        <f>IF(VLOOKUP(BH56,Fundamentus!A:U,21,FALSE)&lt;0,"Negativo",IF(VLOOKUP(BH56,Fundamentus!A:U,21,FALSE)&lt;0.05,"Fraco",IF(VLOOKUP(BH56,Fundamentus!A:U,21,FALSE)&lt;0.1,"Bom",IF(VLOOKUP(BH56,Fundamentus!A:U,21,FALSE)&gt;0.1,"Muito bom","n/a"))))</f>
        <v>Muito bom</v>
      </c>
      <c r="EY56" s="37" t="str">
        <f>IF(VLOOKUP(BH56,Fundamentus!A:U,15,FALSE)&gt;1,"Bom",IF(VLOOKUP(BH56,Fundamentus!A:U,15,FALSE)&lt;1,"Ruim","n/a"))</f>
        <v>Bom</v>
      </c>
      <c r="EZ56" s="20" t="str">
        <f>IF(VLOOKUP(BH56,Fundamentus!A:U,20,FALSE)&lt;0.5,"Baixa",IF(VLOOKUP(BH56,Fundamentus!A:U,20,FALSE)&lt;1,"Moderada",IF(VLOOKUP(BH56,Fundamentus!A:U,20,FALSE)&lt;2,"Alerta",IF(VLOOKUP(BH56,Fundamentus!A:U,20,FALSE)&gt;2,"Alta","n/a"))))</f>
        <v>Alerta</v>
      </c>
    </row>
    <row r="57" spans="1:156" s="2" customFormat="1" ht="11.25" hidden="1" x14ac:dyDescent="0.2">
      <c r="A57" s="4">
        <v>21.81</v>
      </c>
      <c r="B57" s="4">
        <v>21.32</v>
      </c>
      <c r="C57" s="4">
        <v>20.62</v>
      </c>
      <c r="D57" s="4">
        <v>19.559999999999999</v>
      </c>
      <c r="E57" s="4">
        <v>19.11</v>
      </c>
      <c r="F57" s="4">
        <v>19.57</v>
      </c>
      <c r="G57" s="4">
        <v>19.04</v>
      </c>
      <c r="H57" s="4">
        <v>18.98</v>
      </c>
      <c r="I57" s="4">
        <v>18.82</v>
      </c>
      <c r="J57" s="4">
        <v>19.989999999999998</v>
      </c>
      <c r="K57" s="4">
        <v>20.28</v>
      </c>
      <c r="L57" s="4">
        <v>19.989999999999998</v>
      </c>
      <c r="M57" s="4">
        <v>19.66</v>
      </c>
      <c r="N57" s="4">
        <v>19.96</v>
      </c>
      <c r="O57" s="4">
        <v>21.77</v>
      </c>
      <c r="P57" s="4">
        <v>21.32</v>
      </c>
      <c r="Q57" s="4">
        <v>22.57</v>
      </c>
      <c r="R57" s="4">
        <v>21.82</v>
      </c>
      <c r="S57" s="4">
        <v>21.55</v>
      </c>
      <c r="T57" s="4">
        <v>22.28</v>
      </c>
      <c r="U57" s="4">
        <v>20.73</v>
      </c>
      <c r="V57" s="4">
        <v>20.7</v>
      </c>
      <c r="W57" s="4">
        <v>21.24</v>
      </c>
      <c r="X57" s="4">
        <v>21.4</v>
      </c>
      <c r="Y57" s="4">
        <v>21.2</v>
      </c>
      <c r="Z57" s="4">
        <v>21.15</v>
      </c>
      <c r="AA57" s="4">
        <v>21.3</v>
      </c>
      <c r="AB57" s="4">
        <v>21.57</v>
      </c>
      <c r="AC57" s="4">
        <v>21.2</v>
      </c>
      <c r="AD57" s="4">
        <v>21.09</v>
      </c>
      <c r="AE57" s="4">
        <v>18.399999999999999</v>
      </c>
      <c r="AF57" s="4">
        <v>18.54</v>
      </c>
      <c r="AG57" s="4">
        <v>18.05</v>
      </c>
      <c r="AH57" s="4">
        <v>17.32</v>
      </c>
      <c r="AI57" s="4">
        <v>17.12</v>
      </c>
      <c r="AJ57" s="4">
        <v>16.43</v>
      </c>
      <c r="AK57" s="4">
        <v>16.510000000000002</v>
      </c>
      <c r="AL57" s="4">
        <v>17.87</v>
      </c>
      <c r="AM57" s="4">
        <v>18.7</v>
      </c>
      <c r="AN57" s="4">
        <v>20.43</v>
      </c>
      <c r="AO57" s="4">
        <v>20.48</v>
      </c>
      <c r="AP57" s="4">
        <v>21.83</v>
      </c>
      <c r="AQ57" s="4">
        <v>22.46</v>
      </c>
      <c r="AR57" s="4">
        <v>20.75</v>
      </c>
      <c r="AS57" s="4">
        <v>21.75</v>
      </c>
      <c r="AT57" s="4">
        <v>23.02</v>
      </c>
      <c r="AU57" s="4">
        <v>23.844999999999999</v>
      </c>
      <c r="AV57" s="4">
        <v>24.3</v>
      </c>
      <c r="AW57" s="4">
        <v>24.42</v>
      </c>
      <c r="AX57" s="4">
        <v>24.92</v>
      </c>
      <c r="AY57" s="12">
        <v>25.64</v>
      </c>
      <c r="AZ57" s="12">
        <v>25.53</v>
      </c>
      <c r="BA57" s="12">
        <v>24.79</v>
      </c>
      <c r="BB57" s="18">
        <v>26</v>
      </c>
      <c r="BC57" s="63">
        <v>25.46</v>
      </c>
      <c r="BD57" s="63">
        <v>24.97</v>
      </c>
      <c r="BE57" s="63">
        <v>24.97</v>
      </c>
      <c r="BF57" s="63">
        <v>25.2</v>
      </c>
      <c r="BG57" s="91" cm="1">
        <f t="array" aca="1" ref="BG57" ca="1">_FV(EE57,"Preço")</f>
        <v>24.4</v>
      </c>
      <c r="BH57" s="93" t="s">
        <v>55</v>
      </c>
      <c r="BI57" s="32" cm="1">
        <f t="array" aca="1" ref="BI57" ca="1">_FV(EE57,"Beta")</f>
        <v>1.6904999999999999</v>
      </c>
      <c r="BJ57" s="96" cm="1">
        <f t="array" aca="1" ref="BJ57" ca="1">_FV(EE57,"Variação (%)",TRUE)</f>
        <v>-1.6129000000000001E-2</v>
      </c>
      <c r="BK57" s="49"/>
      <c r="BL57" s="49"/>
      <c r="BN57" s="32"/>
      <c r="BO57" s="20" cm="1">
        <f t="array" aca="1" ref="BO57" ca="1">_FV(EE57,"Baixo")</f>
        <v>24.06</v>
      </c>
      <c r="BP57" s="20" cm="1">
        <f t="array" aca="1" ref="BP57" ca="1">_FV(EE57,"Alto")</f>
        <v>24.55</v>
      </c>
      <c r="BQ57" s="32"/>
      <c r="BR57" s="74">
        <f ca="1">SQRT(22.5*(BG57/VLOOKUP(BH57,Fundamentus!A:U,3,FALSE))*(BG57/VLOOKUP(BH57,Fundamentus!A:U,4,FALSE)))</f>
        <v>47.185561220925749</v>
      </c>
      <c r="BT57" s="73">
        <f t="shared" ca="1" si="0"/>
        <v>-3.1746031746031772E-2</v>
      </c>
      <c r="BU57" s="36">
        <f t="shared" si="1"/>
        <v>0.1448876662081614</v>
      </c>
      <c r="BV57" s="8"/>
      <c r="BW57" s="72">
        <f t="shared" si="2"/>
        <v>16.43</v>
      </c>
      <c r="BX57" s="72">
        <f t="shared" si="3"/>
        <v>21.22939655172414</v>
      </c>
      <c r="BY57" s="72">
        <f t="shared" si="4"/>
        <v>26</v>
      </c>
      <c r="BZ57" s="17"/>
      <c r="CA57" s="17"/>
      <c r="CB57" s="43">
        <f t="shared" si="5"/>
        <v>24.543485555992266</v>
      </c>
      <c r="CC57" s="18">
        <f t="shared" si="6"/>
        <v>24.947713214620421</v>
      </c>
      <c r="CD57" s="43">
        <f t="shared" si="7"/>
        <v>25.351940873248576</v>
      </c>
      <c r="CE57" s="98">
        <f t="shared" ca="1" si="8"/>
        <v>-1.3549622420178284</v>
      </c>
      <c r="CF57" s="17"/>
      <c r="CG57" s="20">
        <f t="shared" si="9"/>
        <v>9.5166666666666657</v>
      </c>
      <c r="CH57" s="20">
        <f t="shared" si="10"/>
        <v>12.973333333333333</v>
      </c>
      <c r="CI57" s="20">
        <f t="shared" si="11"/>
        <v>19.086666666666666</v>
      </c>
      <c r="CJ57" s="49">
        <f t="shared" si="12"/>
        <v>22.543333333333333</v>
      </c>
      <c r="CK57" s="20">
        <f t="shared" si="13"/>
        <v>28.656666666666666</v>
      </c>
      <c r="CL57" s="20">
        <f t="shared" si="14"/>
        <v>32.11333333333333</v>
      </c>
      <c r="CM57" s="20">
        <f t="shared" si="15"/>
        <v>38.226666666666667</v>
      </c>
      <c r="CN57" s="2" cm="1">
        <f t="array" aca="1" ref="CN57" ca="1">MAX(_xlfn._xlws.FILTER(CG57:CM57,CG57:CM57&lt;BG57))</f>
        <v>22.543333333333333</v>
      </c>
      <c r="CO57" s="2" cm="1">
        <f t="array" aca="1" ref="CO57" ca="1">MIN(_xlfn._xlws.FILTER($CG57:$CM57,$CG57:$CM57&gt;BG57))</f>
        <v>28.656666666666666</v>
      </c>
      <c r="CP57" s="19">
        <f t="shared" ca="1" si="82"/>
        <v>0.27118142836019521</v>
      </c>
      <c r="CQ57" s="23">
        <f t="shared" ca="1" si="83"/>
        <v>-0.1355907141800976</v>
      </c>
      <c r="CR57" s="23">
        <f t="shared" ca="1" si="84"/>
        <v>-9.0393809453398408E-2</v>
      </c>
      <c r="CS57" s="23">
        <f t="shared" ca="1" si="85"/>
        <v>-5.4236285672039045E-2</v>
      </c>
      <c r="CT57" s="23">
        <f t="shared" ca="1" si="86"/>
        <v>-3.0131269817799469E-2</v>
      </c>
      <c r="CU57" s="23">
        <f t="shared" ca="1" si="87"/>
        <v>-1.5951848727070308E-2</v>
      </c>
      <c r="CV57" s="23">
        <f t="shared" ca="1" si="88"/>
        <v>-8.2176190412180366E-3</v>
      </c>
      <c r="CW57" s="23">
        <f t="shared" ca="1" si="89"/>
        <v>-4.172021974772234E-3</v>
      </c>
      <c r="CX57" s="24">
        <f t="shared" ca="1" si="90"/>
        <v>4.172021974772234E-3</v>
      </c>
      <c r="CY57" s="24">
        <f t="shared" ca="1" si="91"/>
        <v>8.2176190412180366E-3</v>
      </c>
      <c r="CZ57" s="24">
        <f t="shared" ca="1" si="92"/>
        <v>1.5951848727070308E-2</v>
      </c>
      <c r="DA57" s="24">
        <f t="shared" ca="1" si="93"/>
        <v>3.0131269817799469E-2</v>
      </c>
      <c r="DB57" s="24">
        <f t="shared" ca="1" si="94"/>
        <v>5.4236285672039045E-2</v>
      </c>
      <c r="DC57" s="24">
        <f t="shared" ca="1" si="95"/>
        <v>9.0393809453398408E-2</v>
      </c>
      <c r="DD57" s="24">
        <f t="shared" ca="1" si="96"/>
        <v>0.1355907141800976</v>
      </c>
      <c r="DF57" s="19" cm="1">
        <f t="array" aca="1" ref="DF57" ca="1">MAX(_xlfn._xlws.FILTER(CQ57:DD57,CQ57:DD57&lt;BJ57))</f>
        <v>-3.0131269817799469E-2</v>
      </c>
      <c r="DG57" s="19" cm="1">
        <f t="array" aca="1" ref="DG57" ca="1">MIN(_xlfn._xlws.FILTER(CQ57:DD57,CQ57:DD57&gt;BJ57))</f>
        <v>-1.5951848727070308E-2</v>
      </c>
      <c r="DH57" s="2" cm="1">
        <f t="array" aca="1" ref="DH57" ca="1">_FV(EE57,"Fechamento anterior",TRUE)</f>
        <v>24.8</v>
      </c>
      <c r="DI57" s="36">
        <f t="shared" ca="1" si="22"/>
        <v>0.98750417736658469</v>
      </c>
      <c r="DJ57" s="18">
        <f t="shared" ca="1" si="97"/>
        <v>24.052744508518575</v>
      </c>
      <c r="DK57" s="18">
        <f t="shared" ca="1" si="98"/>
        <v>24.404394151568656</v>
      </c>
      <c r="DL57" s="9"/>
      <c r="DM57" s="9"/>
      <c r="DN57" s="9"/>
      <c r="DO57" s="9"/>
      <c r="DP57" s="79">
        <v>1.2168420709919501E-2</v>
      </c>
      <c r="DQ57" s="79">
        <v>7.1606475716064757E-3</v>
      </c>
      <c r="DR57" s="79">
        <v>6.6373203872288188E-3</v>
      </c>
      <c r="DS57" s="79">
        <f t="shared" ca="1" si="25"/>
        <v>1.4179421090729161E-2</v>
      </c>
      <c r="DT57" s="47"/>
      <c r="DU57" s="43">
        <f t="shared" si="26"/>
        <v>0.20211382931407817</v>
      </c>
      <c r="DV57" s="83">
        <f t="shared" ca="1" si="27"/>
        <v>2.1166</v>
      </c>
      <c r="DW57" s="83">
        <f t="shared" ca="1" si="28"/>
        <v>3.3033999999999999</v>
      </c>
      <c r="DX57" s="83">
        <f t="shared" ca="1" si="29"/>
        <v>-1.1867999999999999</v>
      </c>
      <c r="DY57" s="67"/>
      <c r="DZ57" s="67"/>
      <c r="EA57" s="85"/>
      <c r="EB57" s="44">
        <v>3449500</v>
      </c>
      <c r="EC57" s="44" cm="1">
        <f t="array" aca="1" ref="EC57" ca="1">_FV(EE57,"Volume")</f>
        <v>4677800</v>
      </c>
      <c r="EE57" s="2" t="e" vm="57">
        <v>#VALUE!</v>
      </c>
      <c r="EG57" s="10" cm="1">
        <f t="array" aca="1" ref="EG57" ca="1">_FV(EE57,"Ações em circulação",TRUE)</f>
        <v>384000000</v>
      </c>
      <c r="EH57" s="21">
        <f>VLOOKUP(BH57,Fundamentus!A:U,5,FALSE)</f>
        <v>1.173</v>
      </c>
      <c r="EI57" s="2">
        <f t="shared" ca="1" si="30"/>
        <v>7987723785.1662397</v>
      </c>
      <c r="EJ57" s="20">
        <v>1439558056.2659845</v>
      </c>
      <c r="EK57" s="20">
        <f t="shared" ca="1" si="31"/>
        <v>1393857800.5115087</v>
      </c>
      <c r="EM57" s="40" t="str">
        <f>IF(VLOOKUP(BH57,Fundamentus!A:U,3,FALSE)&lt;15,"Bom",IF(VLOOKUP(BH57,Fundamentus!A:U,3,FALSE)&gt;15,"Ruim","n/a"))</f>
        <v>Bom</v>
      </c>
      <c r="EN57" s="36" t="str">
        <f>IF(VLOOKUP(BH57,Fundamentus!A:U,4,FALSE)&lt;1,"Baixo",IF(VLOOKUP(BH57,Fundamentus!A:U,4,FALSE)&lt;1.5,"Moderado",IF(VLOOKUP(BH57,Fundamentus!A:U,4,FALSE)&gt;1.5,"Alto","n/a")))</f>
        <v>Moderado</v>
      </c>
      <c r="EO57" s="20" t="str">
        <f>IF(VLOOKUP(BH57,Fundamentus!A:U,8,FALSE)&lt;0,"Risco elevado",IF(VLOOKUP(BH57,Fundamentus!A:U,8,FALSE)&lt;1,"Saudável",IF(VLOOKUP(BH57,Fundamentus!A:U,8,FALSE)&lt;3,"Estável",IF(VLOOKUP(BH57,Fundamentus!A:U,8,FALSE)&gt;3,"Alerta","n/a"))))</f>
        <v>Estável</v>
      </c>
      <c r="EP57" s="36" t="str">
        <f t="shared" si="32"/>
        <v>Bom</v>
      </c>
      <c r="EQ57" s="20" t="str">
        <f>IF(VLOOKUP(BH57,Fundamentus!A:U,12,FALSE)&lt;2,"Subvalorizada",IF(VLOOKUP(BH57,Fundamentus!A:U,12,FALSE)&lt;6,"Muita barata",IF(VLOOKUP(BH57,Fundamentus!A:U,12,FALSE)&lt;6,"Barata",IF(VLOOKUP(BH57,Fundamentus!A:U,12,FALSE)&lt;8,"Atrativa",IF(VLOOKUP(BH57,Fundamentus!A:U,12,FALSE)&gt;8,"Supervalorizada","n/a")))))</f>
        <v>Atrativa</v>
      </c>
      <c r="ES57" s="20" t="str">
        <f>IF(VLOOKUP(BH57,Fundamentus!A:U,17,FALSE)&lt;0.1,"Fraco retorno",IF(VLOOKUP(BH57,Fundamentus!A:U,17,FALSE)&gt;0.1,"Bom retorno","n/a"))</f>
        <v>Bom retorno</v>
      </c>
      <c r="ET57" s="20" t="str">
        <f>IF(VLOOKUP(BH57,Fundamentus!A:U,16,FALSE)&lt;0.1,"Ineficiente",IF(VLOOKUP(BH57,Fundamentus!A:U,16,FALSE)&gt;0.1,"Eficiente","n/a"))</f>
        <v>Ineficiente</v>
      </c>
      <c r="EU57" s="41" t="str">
        <f>IF(VLOOKUP(BH57,Fundamentus!A:U,16,FALSE)&lt;0.1,"Oper. Ineficiente",IF(VLOOKUP(BH57,Fundamentus!A:U,16,FALSE)&gt;0.1,"Oper.Eficiente","n/a"))</f>
        <v>Oper. Ineficiente</v>
      </c>
      <c r="EV57" s="42">
        <f>VLOOKUP(BH57,Fundamentus!A:U,14,FALSE)</f>
        <v>0.17449999999999999</v>
      </c>
      <c r="EW57" s="20" t="str">
        <f>IF(VLOOKUP(BH57,Fundamentus!A:U,21,FALSE)&lt;0,"Negativo",IF(VLOOKUP(BH57,Fundamentus!A:U,21,FALSE)&lt;0.05,"Fraco",IF(VLOOKUP(BH57,Fundamentus!A:U,21,FALSE)&lt;0.1,"Bom",IF(VLOOKUP(BH57,Fundamentus!A:U,21,FALSE)&gt;0.1,"Muito bom","n/a"))))</f>
        <v>Muito bom</v>
      </c>
      <c r="EY57" s="37" t="str">
        <f>IF(VLOOKUP(BH57,Fundamentus!A:U,15,FALSE)&gt;1,"Bom",IF(VLOOKUP(BH57,Fundamentus!A:U,15,FALSE)&lt;1,"Ruim","n/a"))</f>
        <v>Bom</v>
      </c>
      <c r="EZ57" s="20" t="str">
        <f>IF(VLOOKUP(BH57,Fundamentus!A:U,20,FALSE)&lt;0.5,"Baixa",IF(VLOOKUP(BH57,Fundamentus!A:U,20,FALSE)&lt;1,"Moderada",IF(VLOOKUP(BH57,Fundamentus!A:U,20,FALSE)&lt;2,"Alerta",IF(VLOOKUP(BH57,Fundamentus!A:U,20,FALSE)&gt;2,"Alta","n/a"))))</f>
        <v>Moderada</v>
      </c>
    </row>
    <row r="58" spans="1:156" s="2" customFormat="1" ht="11.25" hidden="1" x14ac:dyDescent="0.2">
      <c r="A58" s="4">
        <v>16.440000000000001</v>
      </c>
      <c r="B58" s="4">
        <v>16.21</v>
      </c>
      <c r="C58" s="4">
        <v>15.89</v>
      </c>
      <c r="D58" s="4">
        <v>15.55</v>
      </c>
      <c r="E58" s="4">
        <v>14.94</v>
      </c>
      <c r="F58" s="4">
        <v>14.53</v>
      </c>
      <c r="G58" s="4">
        <v>14.48</v>
      </c>
      <c r="H58" s="4">
        <v>14.2</v>
      </c>
      <c r="I58" s="4">
        <v>14.27</v>
      </c>
      <c r="J58" s="4">
        <v>14.36</v>
      </c>
      <c r="K58" s="4">
        <v>14.4</v>
      </c>
      <c r="L58" s="4">
        <v>14.53</v>
      </c>
      <c r="M58" s="4">
        <v>14.43</v>
      </c>
      <c r="N58" s="4">
        <v>14.02</v>
      </c>
      <c r="O58" s="4">
        <v>13.9</v>
      </c>
      <c r="P58" s="4">
        <v>14.23</v>
      </c>
      <c r="Q58" s="4">
        <v>15.13</v>
      </c>
      <c r="R58" s="4">
        <v>16.350000000000001</v>
      </c>
      <c r="S58" s="4">
        <v>15.85</v>
      </c>
      <c r="T58" s="4">
        <v>15.01</v>
      </c>
      <c r="U58" s="4">
        <v>14.5</v>
      </c>
      <c r="V58" s="4">
        <v>14.74</v>
      </c>
      <c r="W58" s="4">
        <v>14.41</v>
      </c>
      <c r="X58" s="4">
        <v>14.21</v>
      </c>
      <c r="Y58" s="4">
        <v>14.29</v>
      </c>
      <c r="Z58" s="4">
        <v>14.49</v>
      </c>
      <c r="AA58" s="4">
        <v>14.54</v>
      </c>
      <c r="AB58" s="4">
        <v>14.17</v>
      </c>
      <c r="AC58" s="4">
        <v>14.08</v>
      </c>
      <c r="AD58" s="4">
        <v>14.66</v>
      </c>
      <c r="AE58" s="4">
        <v>14.53</v>
      </c>
      <c r="AF58" s="4">
        <v>15.28</v>
      </c>
      <c r="AG58" s="4">
        <v>15.66</v>
      </c>
      <c r="AH58" s="4">
        <v>14.95</v>
      </c>
      <c r="AI58" s="4">
        <v>14.55</v>
      </c>
      <c r="AJ58" s="4">
        <v>14.31</v>
      </c>
      <c r="AK58" s="4">
        <v>14.16</v>
      </c>
      <c r="AL58" s="4">
        <v>14.48</v>
      </c>
      <c r="AM58" s="4">
        <v>14.76</v>
      </c>
      <c r="AN58" s="4">
        <v>14.68</v>
      </c>
      <c r="AO58" s="4">
        <v>14.35</v>
      </c>
      <c r="AP58" s="4">
        <v>14.67</v>
      </c>
      <c r="AQ58" s="4">
        <v>15.64</v>
      </c>
      <c r="AR58" s="4">
        <v>15.2</v>
      </c>
      <c r="AS58" s="4">
        <v>15.99</v>
      </c>
      <c r="AT58" s="4">
        <v>15.85</v>
      </c>
      <c r="AU58" s="4">
        <v>15.1</v>
      </c>
      <c r="AV58" s="4">
        <v>15.2</v>
      </c>
      <c r="AW58" s="4">
        <v>15.12</v>
      </c>
      <c r="AX58" s="4">
        <v>15.28</v>
      </c>
      <c r="AY58" s="12">
        <v>15.8</v>
      </c>
      <c r="AZ58" s="12">
        <v>16.63</v>
      </c>
      <c r="BA58" s="12">
        <v>16.36</v>
      </c>
      <c r="BB58" s="18">
        <v>14.99</v>
      </c>
      <c r="BC58" s="63">
        <v>15.38</v>
      </c>
      <c r="BD58" s="63">
        <v>15.25</v>
      </c>
      <c r="BE58" s="63">
        <v>15.07</v>
      </c>
      <c r="BF58" s="63">
        <v>14.76</v>
      </c>
      <c r="BG58" s="91" cm="1">
        <f t="array" aca="1" ref="BG58" ca="1">_FV(EE58,"Preço")</f>
        <v>14.6</v>
      </c>
      <c r="BH58" s="93" t="s">
        <v>56</v>
      </c>
      <c r="BI58" s="32" cm="1">
        <f t="array" aca="1" ref="BI58" ca="1">_FV(EE58,"Beta")</f>
        <v>0.94910000000000005</v>
      </c>
      <c r="BJ58" s="96" cm="1">
        <f t="array" aca="1" ref="BJ58" ca="1">_FV(EE58,"Variação (%)",TRUE)</f>
        <v>2.0590000000000001E-3</v>
      </c>
      <c r="BK58" s="49"/>
      <c r="BL58" s="49"/>
      <c r="BN58" s="32"/>
      <c r="BO58" s="20" cm="1">
        <f t="array" aca="1" ref="BO58" ca="1">_FV(EE58,"Baixo")</f>
        <v>14.41</v>
      </c>
      <c r="BP58" s="20" cm="1">
        <f t="array" aca="1" ref="BP58" ca="1">_FV(EE58,"Alto")</f>
        <v>14.68</v>
      </c>
      <c r="BQ58" s="32"/>
      <c r="BR58" s="74">
        <f ca="1">SQRT(22.5*(BG58/VLOOKUP(BH58,Fundamentus!A:U,3,FALSE))*(BG58/VLOOKUP(BH58,Fundamentus!A:U,4,FALSE)))</f>
        <v>11.789333527926368</v>
      </c>
      <c r="BT58" s="73">
        <f t="shared" ca="1" si="0"/>
        <v>-1.0840108401084021E-2</v>
      </c>
      <c r="BU58" s="36">
        <f t="shared" si="1"/>
        <v>-8.3333333333333384E-2</v>
      </c>
      <c r="BV58" s="8"/>
      <c r="BW58" s="72">
        <f t="shared" si="2"/>
        <v>13.9</v>
      </c>
      <c r="BX58" s="72">
        <f t="shared" si="3"/>
        <v>14.945</v>
      </c>
      <c r="BY58" s="72">
        <f t="shared" si="4"/>
        <v>16.63</v>
      </c>
      <c r="BZ58" s="17"/>
      <c r="CA58" s="17"/>
      <c r="CB58" s="43">
        <f t="shared" si="5"/>
        <v>14.156963064200557</v>
      </c>
      <c r="CC58" s="18">
        <f t="shared" si="6"/>
        <v>14.622258669165831</v>
      </c>
      <c r="CD58" s="43">
        <f t="shared" si="7"/>
        <v>15.087554274131104</v>
      </c>
      <c r="CE58" s="98">
        <f t="shared" ca="1" si="8"/>
        <v>-4.7837694850980397E-2</v>
      </c>
      <c r="CF58" s="17"/>
      <c r="CG58" s="20">
        <f t="shared" si="9"/>
        <v>10.833333333333334</v>
      </c>
      <c r="CH58" s="20">
        <f t="shared" si="10"/>
        <v>12.366666666666667</v>
      </c>
      <c r="CI58" s="20">
        <f t="shared" si="11"/>
        <v>13.563333333333333</v>
      </c>
      <c r="CJ58" s="49">
        <f t="shared" si="12"/>
        <v>15.096666666666666</v>
      </c>
      <c r="CK58" s="20">
        <f t="shared" si="13"/>
        <v>16.293333333333329</v>
      </c>
      <c r="CL58" s="20">
        <f t="shared" si="14"/>
        <v>17.826666666666664</v>
      </c>
      <c r="CM58" s="20">
        <f t="shared" si="15"/>
        <v>19.02333333333333</v>
      </c>
      <c r="CN58" s="2" cm="1">
        <f t="array" aca="1" ref="CN58" ca="1">MAX(_xlfn._xlws.FILTER(CG58:CM58,CG58:CM58&lt;BG58))</f>
        <v>13.563333333333333</v>
      </c>
      <c r="CO58" s="2" cm="1">
        <f t="array" aca="1" ref="CO58" ca="1">MIN(_xlfn._xlws.FILTER($CG58:$CM58,$CG58:$CM58&gt;BG58))</f>
        <v>15.096666666666666</v>
      </c>
      <c r="CP58" s="19">
        <f t="shared" ca="1" si="82"/>
        <v>0.11304988940771699</v>
      </c>
      <c r="CQ58" s="23">
        <f t="shared" ca="1" si="83"/>
        <v>-5.6524944703858493E-2</v>
      </c>
      <c r="CR58" s="23">
        <f t="shared" ca="1" si="84"/>
        <v>-3.7683296469238993E-2</v>
      </c>
      <c r="CS58" s="23">
        <f t="shared" ca="1" si="85"/>
        <v>-2.2609977881543397E-2</v>
      </c>
      <c r="CT58" s="23">
        <f t="shared" ca="1" si="86"/>
        <v>-1.2561098823079665E-2</v>
      </c>
      <c r="CU58" s="23">
        <f t="shared" ca="1" si="87"/>
        <v>-6.6499934945715876E-3</v>
      </c>
      <c r="CV58" s="23">
        <f t="shared" ca="1" si="88"/>
        <v>-3.4257542244762722E-3</v>
      </c>
      <c r="CW58" s="23">
        <f t="shared" ca="1" si="89"/>
        <v>-1.7392290678110306E-3</v>
      </c>
      <c r="CX58" s="24">
        <f t="shared" ca="1" si="90"/>
        <v>1.7392290678110306E-3</v>
      </c>
      <c r="CY58" s="24">
        <f t="shared" ca="1" si="91"/>
        <v>3.4257542244762722E-3</v>
      </c>
      <c r="CZ58" s="24">
        <f t="shared" ca="1" si="92"/>
        <v>6.6499934945715876E-3</v>
      </c>
      <c r="DA58" s="24">
        <f t="shared" ca="1" si="93"/>
        <v>1.2561098823079665E-2</v>
      </c>
      <c r="DB58" s="24">
        <f t="shared" ca="1" si="94"/>
        <v>2.2609977881543397E-2</v>
      </c>
      <c r="DC58" s="24">
        <f t="shared" ca="1" si="95"/>
        <v>3.7683296469238993E-2</v>
      </c>
      <c r="DD58" s="24">
        <f t="shared" ca="1" si="96"/>
        <v>5.6524944703858493E-2</v>
      </c>
      <c r="DF58" s="19" cm="1">
        <f t="array" aca="1" ref="DF58" ca="1">MAX(_xlfn._xlws.FILTER(CQ58:DD58,CQ58:DD58&lt;BJ58))</f>
        <v>1.7392290678110306E-3</v>
      </c>
      <c r="DG58" s="19" cm="1">
        <f t="array" aca="1" ref="DG58" ca="1">MIN(_xlfn._xlws.FILTER(CQ58:DD58,CQ58:DD58&gt;BJ58))</f>
        <v>3.4257542244762722E-3</v>
      </c>
      <c r="DH58" s="2" cm="1">
        <f t="array" aca="1" ref="DH58" ca="1">_FV(EE58,"Fechamento anterior",TRUE)</f>
        <v>14.57</v>
      </c>
      <c r="DI58" s="36">
        <f t="shared" ca="1" si="22"/>
        <v>0.18961847415774011</v>
      </c>
      <c r="DJ58" s="18">
        <f t="shared" ca="1" si="97"/>
        <v>14.595340567518006</v>
      </c>
      <c r="DK58" s="18">
        <f t="shared" ca="1" si="98"/>
        <v>14.61991323905062</v>
      </c>
      <c r="DL58" s="9"/>
      <c r="DM58" s="9"/>
      <c r="DN58" s="9"/>
      <c r="DO58" s="9"/>
      <c r="DP58" s="79">
        <v>1.8905756503406227E-3</v>
      </c>
      <c r="DQ58" s="79">
        <v>3.4660553589578079E-3</v>
      </c>
      <c r="DR58" s="79">
        <v>5.8922941102282746E-3</v>
      </c>
      <c r="DS58" s="79">
        <f t="shared" ca="1" si="25"/>
        <v>1.6865251566652417E-3</v>
      </c>
      <c r="DT58" s="47"/>
      <c r="DU58" s="43">
        <f t="shared" si="26"/>
        <v>0.23264780248263714</v>
      </c>
      <c r="DV58" s="83">
        <f t="shared" ca="1" si="27"/>
        <v>1.3752</v>
      </c>
      <c r="DW58" s="83">
        <f t="shared" ca="1" si="28"/>
        <v>0.74320000000000008</v>
      </c>
      <c r="DX58" s="83">
        <f t="shared" ca="1" si="29"/>
        <v>0.6319999999999999</v>
      </c>
      <c r="DY58" s="67"/>
      <c r="DZ58" s="67"/>
      <c r="EA58" s="85"/>
      <c r="EB58" s="44">
        <v>8414900</v>
      </c>
      <c r="EC58" s="44" cm="1">
        <f t="array" aca="1" ref="EC58" ca="1">_FV(EE58,"Volume")</f>
        <v>2731700</v>
      </c>
      <c r="EE58" s="2" t="e" vm="58">
        <v>#VALUE!</v>
      </c>
      <c r="EG58" s="10" cm="1">
        <f t="array" aca="1" ref="EG58" ca="1">_FV(EE58,"Ações em circulação",TRUE)</f>
        <v>3000000000</v>
      </c>
      <c r="EH58" s="21">
        <f>VLOOKUP(BH58,Fundamentus!A:U,5,FALSE)</f>
        <v>0</v>
      </c>
      <c r="EI58" s="2" t="e">
        <f t="shared" ca="1" si="30"/>
        <v>#DIV/0!</v>
      </c>
      <c r="EJ58" s="20" t="e">
        <v>#DIV/0!</v>
      </c>
      <c r="EK58" s="20" t="e">
        <f t="shared" ca="1" si="31"/>
        <v>#DIV/0!</v>
      </c>
      <c r="EM58" s="40" t="str">
        <f>IF(VLOOKUP(BH58,Fundamentus!A:U,3,FALSE)&lt;15,"Bom",IF(VLOOKUP(BH58,Fundamentus!A:U,3,FALSE)&gt;15,"Ruim","n/a"))</f>
        <v>Bom</v>
      </c>
      <c r="EN58" s="36" t="str">
        <f>IF(VLOOKUP(BH58,Fundamentus!A:U,4,FALSE)&lt;1,"Baixo",IF(VLOOKUP(BH58,Fundamentus!A:U,4,FALSE)&lt;1.5,"Moderado",IF(VLOOKUP(BH58,Fundamentus!A:U,4,FALSE)&gt;1.5,"Alto","n/a")))</f>
        <v>Alto</v>
      </c>
      <c r="EO58" s="20" t="str">
        <f>IF(VLOOKUP(BH58,Fundamentus!A:U,8,FALSE)&lt;0,"Risco elevado",IF(VLOOKUP(BH58,Fundamentus!A:U,8,FALSE)&lt;1,"Saudável",IF(VLOOKUP(BH58,Fundamentus!A:U,8,FALSE)&lt;3,"Estável",IF(VLOOKUP(BH58,Fundamentus!A:U,8,FALSE)&gt;3,"Alerta","n/a"))))</f>
        <v>Alerta</v>
      </c>
      <c r="EP58" s="36" t="str">
        <f t="shared" si="32"/>
        <v>Ruim</v>
      </c>
      <c r="EQ58" s="20" t="str">
        <f>IF(VLOOKUP(BH58,Fundamentus!A:U,12,FALSE)&lt;2,"Subvalorizada",IF(VLOOKUP(BH58,Fundamentus!A:U,12,FALSE)&lt;6,"Muita barata",IF(VLOOKUP(BH58,Fundamentus!A:U,12,FALSE)&lt;6,"Barata",IF(VLOOKUP(BH58,Fundamentus!A:U,12,FALSE)&lt;8,"Atrativa",IF(VLOOKUP(BH58,Fundamentus!A:U,12,FALSE)&gt;8,"Supervalorizada","n/a")))))</f>
        <v>Subvalorizada</v>
      </c>
      <c r="ES58" s="20" t="str">
        <f>IF(VLOOKUP(BH58,Fundamentus!A:U,17,FALSE)&lt;0.1,"Fraco retorno",IF(VLOOKUP(BH58,Fundamentus!A:U,17,FALSE)&gt;0.1,"Bom retorno","n/a"))</f>
        <v>Bom retorno</v>
      </c>
      <c r="ET58" s="20" t="str">
        <f>IF(VLOOKUP(BH58,Fundamentus!A:U,16,FALSE)&lt;0.1,"Ineficiente",IF(VLOOKUP(BH58,Fundamentus!A:U,16,FALSE)&gt;0.1,"Eficiente","n/a"))</f>
        <v>Ineficiente</v>
      </c>
      <c r="EU58" s="41" t="str">
        <f>IF(VLOOKUP(BH58,Fundamentus!A:U,16,FALSE)&lt;0.1,"Oper. Ineficiente",IF(VLOOKUP(BH58,Fundamentus!A:U,16,FALSE)&gt;0.1,"Oper.Eficiente","n/a"))</f>
        <v>Oper. Ineficiente</v>
      </c>
      <c r="EV58" s="42">
        <f>VLOOKUP(BH58,Fundamentus!A:U,14,FALSE)</f>
        <v>0</v>
      </c>
      <c r="EW58" s="20" t="str">
        <f>IF(VLOOKUP(BH58,Fundamentus!A:U,21,FALSE)&lt;0,"Negativo",IF(VLOOKUP(BH58,Fundamentus!A:U,21,FALSE)&lt;0.05,"Fraco",IF(VLOOKUP(BH58,Fundamentus!A:U,21,FALSE)&lt;0.1,"Bom",IF(VLOOKUP(BH58,Fundamentus!A:U,21,FALSE)&gt;0.1,"Muito bom","n/a"))))</f>
        <v>Fraco</v>
      </c>
      <c r="EY58" s="37" t="str">
        <f>IF(VLOOKUP(BH58,Fundamentus!A:U,15,FALSE)&gt;1,"Bom",IF(VLOOKUP(BH58,Fundamentus!A:U,15,FALSE)&lt;1,"Ruim","n/a"))</f>
        <v>Bom</v>
      </c>
      <c r="EZ58" s="20" t="str">
        <f>IF(VLOOKUP(BH58,Fundamentus!A:U,20,FALSE)&lt;0.5,"Baixa",IF(VLOOKUP(BH58,Fundamentus!A:U,20,FALSE)&lt;1,"Moderada",IF(VLOOKUP(BH58,Fundamentus!A:U,20,FALSE)&lt;2,"Alerta",IF(VLOOKUP(BH58,Fundamentus!A:U,20,FALSE)&gt;2,"Alta","n/a"))))</f>
        <v>Baixa</v>
      </c>
    </row>
    <row r="59" spans="1:156" s="2" customFormat="1" ht="11.25" hidden="1" x14ac:dyDescent="0.2">
      <c r="A59" s="4">
        <v>7.46</v>
      </c>
      <c r="B59" s="4">
        <v>7.7</v>
      </c>
      <c r="C59" s="4">
        <v>7.16</v>
      </c>
      <c r="D59" s="4">
        <v>6.97</v>
      </c>
      <c r="E59" s="4">
        <v>6.91</v>
      </c>
      <c r="F59" s="4">
        <v>7.19</v>
      </c>
      <c r="G59" s="4">
        <v>6.9</v>
      </c>
      <c r="H59" s="4">
        <v>7.18</v>
      </c>
      <c r="I59" s="4">
        <v>7.4</v>
      </c>
      <c r="J59" s="4">
        <v>7.71</v>
      </c>
      <c r="K59" s="4">
        <v>7.92</v>
      </c>
      <c r="L59" s="4">
        <v>8.1199999999999992</v>
      </c>
      <c r="M59" s="4">
        <v>7.85</v>
      </c>
      <c r="N59" s="4">
        <v>8.0500000000000007</v>
      </c>
      <c r="O59" s="4">
        <v>7.62</v>
      </c>
      <c r="P59" s="4">
        <v>7.47</v>
      </c>
      <c r="Q59" s="4">
        <v>7.7</v>
      </c>
      <c r="R59" s="4">
        <v>7.53</v>
      </c>
      <c r="S59" s="4">
        <v>8.4499999999999993</v>
      </c>
      <c r="T59" s="4">
        <v>7.92</v>
      </c>
      <c r="U59" s="4">
        <v>7.3</v>
      </c>
      <c r="V59" s="4">
        <v>7.64</v>
      </c>
      <c r="W59" s="4">
        <v>7.69</v>
      </c>
      <c r="X59" s="4">
        <v>7.6</v>
      </c>
      <c r="Y59" s="4">
        <v>7.52</v>
      </c>
      <c r="Z59" s="4">
        <v>7.63</v>
      </c>
      <c r="AA59" s="4">
        <v>7.47</v>
      </c>
      <c r="AB59" s="4">
        <v>8.3000000000000007</v>
      </c>
      <c r="AC59" s="4">
        <v>8.42</v>
      </c>
      <c r="AD59" s="4">
        <v>8.86</v>
      </c>
      <c r="AE59" s="4">
        <v>8.85</v>
      </c>
      <c r="AF59" s="4">
        <v>8.8800000000000008</v>
      </c>
      <c r="AG59" s="4">
        <v>7.03</v>
      </c>
      <c r="AH59" s="4">
        <v>6.69</v>
      </c>
      <c r="AI59" s="4">
        <v>6.7</v>
      </c>
      <c r="AJ59" s="4">
        <v>6.66</v>
      </c>
      <c r="AK59" s="4">
        <v>6.92</v>
      </c>
      <c r="AL59" s="4">
        <v>6.9</v>
      </c>
      <c r="AM59" s="4">
        <v>6.78</v>
      </c>
      <c r="AN59" s="4">
        <v>6.97</v>
      </c>
      <c r="AO59" s="4">
        <v>7.18</v>
      </c>
      <c r="AP59" s="4">
        <v>7.18</v>
      </c>
      <c r="AQ59" s="4">
        <v>7.22</v>
      </c>
      <c r="AR59" s="4">
        <v>6.9</v>
      </c>
      <c r="AS59" s="4">
        <v>6.77</v>
      </c>
      <c r="AT59" s="4">
        <v>7.05</v>
      </c>
      <c r="AU59" s="4">
        <v>7.1549999999999994</v>
      </c>
      <c r="AV59" s="4">
        <v>7</v>
      </c>
      <c r="AW59" s="4">
        <v>6.8</v>
      </c>
      <c r="AX59" s="4">
        <v>6.68</v>
      </c>
      <c r="AY59" s="12">
        <v>6.8</v>
      </c>
      <c r="AZ59" s="12">
        <v>7.01</v>
      </c>
      <c r="BA59" s="12">
        <v>7.01</v>
      </c>
      <c r="BB59" s="18">
        <v>7.1</v>
      </c>
      <c r="BC59" s="63">
        <v>6.93</v>
      </c>
      <c r="BD59" s="63">
        <v>6.8</v>
      </c>
      <c r="BE59" s="63">
        <v>7.12</v>
      </c>
      <c r="BF59" s="63">
        <v>7.16</v>
      </c>
      <c r="BG59" s="91" cm="1">
        <f t="array" aca="1" ref="BG59" ca="1">_FV(EE59,"Preço")</f>
        <v>7.07</v>
      </c>
      <c r="BH59" s="93" t="s">
        <v>57</v>
      </c>
      <c r="BI59" s="32" cm="1">
        <f t="array" aca="1" ref="BI59" ca="1">_FV(EE59,"Beta")</f>
        <v>1.224</v>
      </c>
      <c r="BJ59" s="96" cm="1">
        <f t="array" aca="1" ref="BJ59" ca="1">_FV(EE59,"Variação (%)",TRUE)</f>
        <v>-4.2249999999999996E-3</v>
      </c>
      <c r="BK59" s="49"/>
      <c r="BL59" s="49"/>
      <c r="BN59" s="32"/>
      <c r="BO59" s="20" cm="1">
        <f t="array" aca="1" ref="BO59" ca="1">_FV(EE59,"Baixo")</f>
        <v>7.03</v>
      </c>
      <c r="BP59" s="20" cm="1">
        <f t="array" aca="1" ref="BP59" ca="1">_FV(EE59,"Alto")</f>
        <v>7.1</v>
      </c>
      <c r="BQ59" s="32"/>
      <c r="BR59" s="74">
        <f ca="1">SQRT(22.5*(BG59/VLOOKUP(BH59,Fundamentus!A:U,3,FALSE))*(BG59/VLOOKUP(BH59,Fundamentus!A:U,4,FALSE)))</f>
        <v>21.003500531967898</v>
      </c>
      <c r="BT59" s="73">
        <f t="shared" ca="1" si="0"/>
        <v>-1.2569832402234617E-2</v>
      </c>
      <c r="BU59" s="36">
        <f t="shared" si="1"/>
        <v>-4.5576407506702395E-2</v>
      </c>
      <c r="BV59" s="8"/>
      <c r="BW59" s="72">
        <f t="shared" si="2"/>
        <v>6.66</v>
      </c>
      <c r="BX59" s="72">
        <f t="shared" si="3"/>
        <v>7.3773275862068974</v>
      </c>
      <c r="BY59" s="72">
        <f t="shared" si="4"/>
        <v>8.8800000000000008</v>
      </c>
      <c r="BZ59" s="17"/>
      <c r="CA59" s="17"/>
      <c r="CB59" s="43">
        <f t="shared" si="5"/>
        <v>6.9512160607348381</v>
      </c>
      <c r="CC59" s="18">
        <f t="shared" si="6"/>
        <v>7.2425492033739829</v>
      </c>
      <c r="CD59" s="43">
        <f t="shared" si="7"/>
        <v>7.5338823460131277</v>
      </c>
      <c r="CE59" s="98">
        <f t="shared" ca="1" si="8"/>
        <v>-0.59227454113488198</v>
      </c>
      <c r="CF59" s="17"/>
      <c r="CG59" s="20">
        <f t="shared" si="9"/>
        <v>4.0333333333333332</v>
      </c>
      <c r="CH59" s="20">
        <f t="shared" si="10"/>
        <v>5.3466666666666667</v>
      </c>
      <c r="CI59" s="20">
        <f t="shared" si="11"/>
        <v>6.2533333333333339</v>
      </c>
      <c r="CJ59" s="49">
        <f t="shared" si="12"/>
        <v>7.5666666666666673</v>
      </c>
      <c r="CK59" s="20">
        <f t="shared" si="13"/>
        <v>8.4733333333333345</v>
      </c>
      <c r="CL59" s="20">
        <f t="shared" si="14"/>
        <v>9.7866666666666688</v>
      </c>
      <c r="CM59" s="20">
        <f t="shared" si="15"/>
        <v>10.693333333333335</v>
      </c>
      <c r="CN59" s="2" cm="1">
        <f t="array" aca="1" ref="CN59" ca="1">MAX(_xlfn._xlws.FILTER(CG59:CM59,CG59:CM59&lt;BG59))</f>
        <v>6.2533333333333339</v>
      </c>
      <c r="CO59" s="2" cm="1">
        <f t="array" aca="1" ref="CO59" ca="1">MIN(_xlfn._xlws.FILTER($CG59:$CM59,$CG59:$CM59&gt;BG59))</f>
        <v>7.5666666666666673</v>
      </c>
      <c r="CP59" s="19">
        <f t="shared" ca="1" si="82"/>
        <v>0.21002132196162049</v>
      </c>
      <c r="CQ59" s="23">
        <f t="shared" ca="1" si="83"/>
        <v>-0.10501066098081024</v>
      </c>
      <c r="CR59" s="23">
        <f t="shared" ca="1" si="84"/>
        <v>-7.0007107320540163E-2</v>
      </c>
      <c r="CS59" s="23">
        <f t="shared" ca="1" si="85"/>
        <v>-4.2004264392324096E-2</v>
      </c>
      <c r="CT59" s="23">
        <f t="shared" ca="1" si="86"/>
        <v>-2.3335702440180055E-2</v>
      </c>
      <c r="CU59" s="23">
        <f t="shared" ca="1" si="87"/>
        <v>-1.2354195409507088E-2</v>
      </c>
      <c r="CV59" s="23">
        <f t="shared" ca="1" si="88"/>
        <v>-6.364282483685469E-3</v>
      </c>
      <c r="CW59" s="23">
        <f t="shared" ca="1" si="89"/>
        <v>-3.2310972609480076E-3</v>
      </c>
      <c r="CX59" s="24">
        <f t="shared" ca="1" si="90"/>
        <v>3.2310972609480076E-3</v>
      </c>
      <c r="CY59" s="24">
        <f t="shared" ca="1" si="91"/>
        <v>6.364282483685469E-3</v>
      </c>
      <c r="CZ59" s="24">
        <f t="shared" ca="1" si="92"/>
        <v>1.2354195409507088E-2</v>
      </c>
      <c r="DA59" s="24">
        <f t="shared" ca="1" si="93"/>
        <v>2.3335702440180055E-2</v>
      </c>
      <c r="DB59" s="24">
        <f t="shared" ca="1" si="94"/>
        <v>4.2004264392324096E-2</v>
      </c>
      <c r="DC59" s="24">
        <f t="shared" ca="1" si="95"/>
        <v>7.0007107320540163E-2</v>
      </c>
      <c r="DD59" s="24">
        <f t="shared" ca="1" si="96"/>
        <v>0.10501066098081024</v>
      </c>
      <c r="DF59" s="19" cm="1">
        <f t="array" aca="1" ref="DF59" ca="1">MAX(_xlfn._xlws.FILTER(CQ59:DD59,CQ59:DD59&lt;BJ59))</f>
        <v>-6.364282483685469E-3</v>
      </c>
      <c r="DG59" s="19" cm="1">
        <f t="array" aca="1" ref="DG59" ca="1">MIN(_xlfn._xlws.FILTER(CQ59:DD59,CQ59:DD59&gt;BJ59))</f>
        <v>-3.2310972609480076E-3</v>
      </c>
      <c r="DH59" s="2" cm="1">
        <f t="array" aca="1" ref="DH59" ca="1">_FV(EE59,"Fechamento anterior",TRUE)</f>
        <v>7.1</v>
      </c>
      <c r="DI59" s="36">
        <f t="shared" ca="1" si="22"/>
        <v>0.68266962179169177</v>
      </c>
      <c r="DJ59" s="18">
        <f t="shared" ca="1" si="97"/>
        <v>7.0548135943658332</v>
      </c>
      <c r="DK59" s="18">
        <f t="shared" ca="1" si="98"/>
        <v>7.0770592094472686</v>
      </c>
      <c r="DL59" s="9"/>
      <c r="DM59" s="9"/>
      <c r="DN59" s="9"/>
      <c r="DO59" s="9"/>
      <c r="DP59" s="79">
        <v>9.8309296170258804E-3</v>
      </c>
      <c r="DQ59" s="79">
        <v>5.3623252456504794E-3</v>
      </c>
      <c r="DR59" s="79">
        <v>5.3623252456504794E-3</v>
      </c>
      <c r="DS59" s="79">
        <f t="shared" ca="1" si="25"/>
        <v>3.1331852227374614E-3</v>
      </c>
      <c r="DT59" s="47"/>
      <c r="DU59" s="43">
        <f t="shared" si="26"/>
        <v>0.14566657131957231</v>
      </c>
      <c r="DV59" s="83">
        <f t="shared" ca="1" si="27"/>
        <v>1.6500999999999999</v>
      </c>
      <c r="DW59" s="83">
        <f t="shared" ca="1" si="28"/>
        <v>1.6465000000000001</v>
      </c>
      <c r="DX59" s="83">
        <f t="shared" ca="1" si="29"/>
        <v>3.5999999999998256E-3</v>
      </c>
      <c r="DY59" s="67"/>
      <c r="DZ59" s="67"/>
      <c r="EA59" s="85"/>
      <c r="EB59" s="44">
        <v>38400</v>
      </c>
      <c r="EC59" s="44" cm="1">
        <f t="array" aca="1" ref="EC59" ca="1">_FV(EE59,"Volume")</f>
        <v>14700</v>
      </c>
      <c r="EE59" s="2" t="e" vm="59">
        <v>#VALUE!</v>
      </c>
      <c r="EG59" s="10" cm="1">
        <f t="array" aca="1" ref="EG59" ca="1">_FV(EE59,"Ações em circulação",TRUE)</f>
        <v>94507240</v>
      </c>
      <c r="EH59" s="21">
        <f>VLOOKUP(BH59,Fundamentus!A:U,5,FALSE)</f>
        <v>0.126</v>
      </c>
      <c r="EI59" s="2">
        <f t="shared" ca="1" si="30"/>
        <v>5302906244.4444447</v>
      </c>
      <c r="EJ59" s="20">
        <v>111594480.74666667</v>
      </c>
      <c r="EK59" s="20">
        <f t="shared" ca="1" si="31"/>
        <v>110300449.88444445</v>
      </c>
      <c r="EM59" s="40" t="str">
        <f>IF(VLOOKUP(BH59,Fundamentus!A:U,3,FALSE)&lt;15,"Bom",IF(VLOOKUP(BH59,Fundamentus!A:U,3,FALSE)&gt;15,"Ruim","n/a"))</f>
        <v>Bom</v>
      </c>
      <c r="EN59" s="36" t="str">
        <f>IF(VLOOKUP(BH59,Fundamentus!A:U,4,FALSE)&lt;1,"Baixo",IF(VLOOKUP(BH59,Fundamentus!A:U,4,FALSE)&lt;1.5,"Moderado",IF(VLOOKUP(BH59,Fundamentus!A:U,4,FALSE)&gt;1.5,"Alto","n/a")))</f>
        <v>Baixo</v>
      </c>
      <c r="EO59" s="20" t="str">
        <f>IF(VLOOKUP(BH59,Fundamentus!A:U,8,FALSE)&lt;0,"Risco elevado",IF(VLOOKUP(BH59,Fundamentus!A:U,8,FALSE)&lt;1,"Saudável",IF(VLOOKUP(BH59,Fundamentus!A:U,8,FALSE)&lt;3,"Estável",IF(VLOOKUP(BH59,Fundamentus!A:U,8,FALSE)&gt;3,"Alerta","n/a"))))</f>
        <v>Saudável</v>
      </c>
      <c r="EP59" s="36" t="str">
        <f t="shared" si="32"/>
        <v>Ruim</v>
      </c>
      <c r="EQ59" s="20" t="str">
        <f>IF(VLOOKUP(BH59,Fundamentus!A:U,12,FALSE)&lt;2,"Subvalorizada",IF(VLOOKUP(BH59,Fundamentus!A:U,12,FALSE)&lt;6,"Muita barata",IF(VLOOKUP(BH59,Fundamentus!A:U,12,FALSE)&lt;6,"Barata",IF(VLOOKUP(BH59,Fundamentus!A:U,12,FALSE)&lt;8,"Atrativa",IF(VLOOKUP(BH59,Fundamentus!A:U,12,FALSE)&gt;8,"Supervalorizada","n/a")))))</f>
        <v>Muita barata</v>
      </c>
      <c r="ES59" s="20" t="str">
        <f>IF(VLOOKUP(BH59,Fundamentus!A:U,17,FALSE)&lt;0.1,"Fraco retorno",IF(VLOOKUP(BH59,Fundamentus!A:U,17,FALSE)&gt;0.1,"Bom retorno","n/a"))</f>
        <v>Fraco retorno</v>
      </c>
      <c r="ET59" s="20" t="str">
        <f>IF(VLOOKUP(BH59,Fundamentus!A:U,16,FALSE)&lt;0.1,"Ineficiente",IF(VLOOKUP(BH59,Fundamentus!A:U,16,FALSE)&gt;0.1,"Eficiente","n/a"))</f>
        <v>Ineficiente</v>
      </c>
      <c r="EU59" s="41" t="str">
        <f>IF(VLOOKUP(BH59,Fundamentus!A:U,16,FALSE)&lt;0.1,"Oper. Ineficiente",IF(VLOOKUP(BH59,Fundamentus!A:U,16,FALSE)&gt;0.1,"Oper.Eficiente","n/a"))</f>
        <v>Oper. Ineficiente</v>
      </c>
      <c r="EV59" s="42">
        <f>VLOOKUP(BH59,Fundamentus!A:U,14,FALSE)</f>
        <v>2.0799999999999999E-2</v>
      </c>
      <c r="EW59" s="20" t="str">
        <f>IF(VLOOKUP(BH59,Fundamentus!A:U,21,FALSE)&lt;0,"Negativo",IF(VLOOKUP(BH59,Fundamentus!A:U,21,FALSE)&lt;0.05,"Fraco",IF(VLOOKUP(BH59,Fundamentus!A:U,21,FALSE)&lt;0.1,"Bom",IF(VLOOKUP(BH59,Fundamentus!A:U,21,FALSE)&gt;0.1,"Muito bom","n/a"))))</f>
        <v>Fraco</v>
      </c>
      <c r="EY59" s="37" t="str">
        <f>IF(VLOOKUP(BH59,Fundamentus!A:U,15,FALSE)&gt;1,"Bom",IF(VLOOKUP(BH59,Fundamentus!A:U,15,FALSE)&lt;1,"Ruim","n/a"))</f>
        <v>Bom</v>
      </c>
      <c r="EZ59" s="20" t="str">
        <f>IF(VLOOKUP(BH59,Fundamentus!A:U,20,FALSE)&lt;0.5,"Baixa",IF(VLOOKUP(BH59,Fundamentus!A:U,20,FALSE)&lt;1,"Moderada",IF(VLOOKUP(BH59,Fundamentus!A:U,20,FALSE)&lt;2,"Alerta",IF(VLOOKUP(BH59,Fundamentus!A:U,20,FALSE)&gt;2,"Alta","n/a"))))</f>
        <v>Baixa</v>
      </c>
    </row>
    <row r="60" spans="1:156" s="2" customFormat="1" ht="11.25" hidden="1" x14ac:dyDescent="0.2">
      <c r="A60" s="4">
        <v>10.7</v>
      </c>
      <c r="B60" s="4">
        <v>11.1</v>
      </c>
      <c r="C60" s="4">
        <v>10.28</v>
      </c>
      <c r="D60" s="4">
        <v>10.87</v>
      </c>
      <c r="E60" s="4">
        <v>10.38</v>
      </c>
      <c r="F60" s="4">
        <v>10.41</v>
      </c>
      <c r="G60" s="4">
        <v>10.029999999999999</v>
      </c>
      <c r="H60" s="4">
        <v>10.1</v>
      </c>
      <c r="I60" s="4">
        <v>10.48</v>
      </c>
      <c r="J60" s="4">
        <v>10.42</v>
      </c>
      <c r="K60" s="4">
        <v>10.51</v>
      </c>
      <c r="L60" s="4">
        <v>10.050000000000001</v>
      </c>
      <c r="M60" s="4">
        <v>10.34</v>
      </c>
      <c r="N60" s="4">
        <v>10.29</v>
      </c>
      <c r="O60" s="4">
        <v>10.26</v>
      </c>
      <c r="P60" s="4">
        <v>9.6</v>
      </c>
      <c r="Q60" s="4">
        <v>9.75</v>
      </c>
      <c r="R60" s="4">
        <v>9.7100000000000009</v>
      </c>
      <c r="S60" s="4">
        <v>9.08</v>
      </c>
      <c r="T60" s="4">
        <v>9.2899999999999991</v>
      </c>
      <c r="U60" s="4">
        <v>8.7799999999999994</v>
      </c>
      <c r="V60" s="4">
        <v>9.1</v>
      </c>
      <c r="W60" s="4">
        <v>8.91</v>
      </c>
      <c r="X60" s="4">
        <v>8.6999999999999993</v>
      </c>
      <c r="Y60" s="4">
        <v>9.0399999999999991</v>
      </c>
      <c r="Z60" s="4">
        <v>8.6999999999999993</v>
      </c>
      <c r="AA60" s="4">
        <v>8.93</v>
      </c>
      <c r="AB60" s="4">
        <v>8.61</v>
      </c>
      <c r="AC60" s="4">
        <v>8.2100000000000009</v>
      </c>
      <c r="AD60" s="4">
        <v>8.49</v>
      </c>
      <c r="AE60" s="4">
        <v>8.24</v>
      </c>
      <c r="AF60" s="4">
        <v>8.4</v>
      </c>
      <c r="AG60" s="4">
        <v>8.5</v>
      </c>
      <c r="AH60" s="4">
        <v>8.3000000000000007</v>
      </c>
      <c r="AI60" s="4">
        <v>8.42</v>
      </c>
      <c r="AJ60" s="4">
        <v>8.23</v>
      </c>
      <c r="AK60" s="4">
        <v>8.3800000000000008</v>
      </c>
      <c r="AL60" s="4">
        <v>8.77</v>
      </c>
      <c r="AM60" s="4">
        <v>8.76</v>
      </c>
      <c r="AN60" s="4">
        <v>8.64</v>
      </c>
      <c r="AO60" s="4">
        <v>8.1999999999999993</v>
      </c>
      <c r="AP60" s="4">
        <v>8.49</v>
      </c>
      <c r="AQ60" s="4">
        <v>8.42</v>
      </c>
      <c r="AR60" s="4">
        <v>7.96</v>
      </c>
      <c r="AS60" s="4">
        <v>8.18</v>
      </c>
      <c r="AT60" s="4">
        <v>8.15</v>
      </c>
      <c r="AU60" s="4">
        <v>8.1000000000000014</v>
      </c>
      <c r="AV60" s="4">
        <v>7.91</v>
      </c>
      <c r="AW60" s="4">
        <v>7.64</v>
      </c>
      <c r="AX60" s="4">
        <v>7.68</v>
      </c>
      <c r="AY60" s="12">
        <v>7.8</v>
      </c>
      <c r="AZ60" s="12">
        <v>8.18</v>
      </c>
      <c r="BA60" s="12">
        <v>8.0399999999999991</v>
      </c>
      <c r="BB60" s="18">
        <v>7.88</v>
      </c>
      <c r="BC60" s="63">
        <v>8.1999999999999993</v>
      </c>
      <c r="BD60" s="63">
        <v>9.39</v>
      </c>
      <c r="BE60" s="63">
        <v>9.3800000000000008</v>
      </c>
      <c r="BF60" s="63">
        <v>9.23</v>
      </c>
      <c r="BG60" s="91" cm="1">
        <f t="array" aca="1" ref="BG60" ca="1">_FV(EE60,"Preço")</f>
        <v>8.85</v>
      </c>
      <c r="BH60" s="93" t="s">
        <v>58</v>
      </c>
      <c r="BI60" s="32" cm="1">
        <f t="array" aca="1" ref="BI60" ca="1">_FV(EE60,"Beta")</f>
        <v>1.1114999999999999</v>
      </c>
      <c r="BJ60" s="96" cm="1">
        <f t="array" aca="1" ref="BJ60" ca="1">_FV(EE60,"Variação (%)",TRUE)</f>
        <v>-3.2787000000000004E-2</v>
      </c>
      <c r="BK60" s="49"/>
      <c r="BL60" s="49"/>
      <c r="BN60" s="32"/>
      <c r="BO60" s="20" cm="1">
        <f t="array" aca="1" ref="BO60" ca="1">_FV(EE60,"Baixo")</f>
        <v>8.76</v>
      </c>
      <c r="BP60" s="20" cm="1">
        <f t="array" aca="1" ref="BP60" ca="1">_FV(EE60,"Alto")</f>
        <v>9.09</v>
      </c>
      <c r="BQ60" s="32"/>
      <c r="BR60" s="74">
        <f ca="1">SQRT(22.5*(BG60/VLOOKUP(BH60,Fundamentus!A:U,3,FALSE))*(BG60/VLOOKUP(BH60,Fundamentus!A:U,4,FALSE)))</f>
        <v>15.99885363841531</v>
      </c>
      <c r="BT60" s="73">
        <f t="shared" ca="1" si="0"/>
        <v>-4.1170097508125759E-2</v>
      </c>
      <c r="BU60" s="36">
        <f t="shared" si="1"/>
        <v>-0.12336448598130828</v>
      </c>
      <c r="BV60" s="8"/>
      <c r="BW60" s="72">
        <f t="shared" si="2"/>
        <v>7.64</v>
      </c>
      <c r="BX60" s="72">
        <f t="shared" si="3"/>
        <v>9.044655172413794</v>
      </c>
      <c r="BY60" s="72">
        <f t="shared" si="4"/>
        <v>11.1</v>
      </c>
      <c r="BZ60" s="17"/>
      <c r="CA60" s="17"/>
      <c r="CB60" s="43">
        <f t="shared" si="5"/>
        <v>8.8342336359891114</v>
      </c>
      <c r="CC60" s="18">
        <f t="shared" si="6"/>
        <v>9.8238800374881521</v>
      </c>
      <c r="CD60" s="43">
        <f t="shared" si="7"/>
        <v>10.813526438987193</v>
      </c>
      <c r="CE60" s="98">
        <f t="shared" ca="1" si="8"/>
        <v>-0.98406868959761129</v>
      </c>
      <c r="CF60" s="17"/>
      <c r="CG60" s="20">
        <f t="shared" si="9"/>
        <v>4.0866666666666651</v>
      </c>
      <c r="CH60" s="20">
        <f t="shared" si="10"/>
        <v>5.8633333333333324</v>
      </c>
      <c r="CI60" s="20">
        <f t="shared" si="11"/>
        <v>7.5466666666666651</v>
      </c>
      <c r="CJ60" s="49">
        <f t="shared" si="12"/>
        <v>9.3233333333333324</v>
      </c>
      <c r="CK60" s="20">
        <f t="shared" si="13"/>
        <v>11.006666666666664</v>
      </c>
      <c r="CL60" s="20">
        <f t="shared" si="14"/>
        <v>12.783333333333331</v>
      </c>
      <c r="CM60" s="20">
        <f t="shared" si="15"/>
        <v>14.466666666666665</v>
      </c>
      <c r="CN60" s="2" cm="1">
        <f t="array" aca="1" ref="CN60" ca="1">MAX(_xlfn._xlws.FILTER(CG60:CM60,CG60:CM60&lt;BG60))</f>
        <v>7.5466666666666651</v>
      </c>
      <c r="CO60" s="2" cm="1">
        <f t="array" aca="1" ref="CO60" ca="1">MIN(_xlfn._xlws.FILTER($CG60:$CM60,$CG60:$CM60&gt;BG60))</f>
        <v>9.3233333333333324</v>
      </c>
      <c r="CP60" s="19">
        <f t="shared" ca="1" si="82"/>
        <v>0.23542402826855136</v>
      </c>
      <c r="CQ60" s="23">
        <f t="shared" ca="1" si="83"/>
        <v>-0.11771201413427568</v>
      </c>
      <c r="CR60" s="23">
        <f t="shared" ca="1" si="84"/>
        <v>-7.8474676089517123E-2</v>
      </c>
      <c r="CS60" s="23">
        <f t="shared" ca="1" si="85"/>
        <v>-4.7084805653710274E-2</v>
      </c>
      <c r="CT60" s="23">
        <f t="shared" ca="1" si="86"/>
        <v>-2.6158225363172374E-2</v>
      </c>
      <c r="CU60" s="23">
        <f t="shared" ca="1" si="87"/>
        <v>-1.3848472251091256E-2</v>
      </c>
      <c r="CV60" s="23">
        <f t="shared" ca="1" si="88"/>
        <v>-7.1340614626833748E-3</v>
      </c>
      <c r="CW60" s="23">
        <f t="shared" ca="1" si="89"/>
        <v>-3.6219081272084825E-3</v>
      </c>
      <c r="CX60" s="24">
        <f t="shared" ca="1" si="90"/>
        <v>3.6219081272084825E-3</v>
      </c>
      <c r="CY60" s="24">
        <f t="shared" ca="1" si="91"/>
        <v>7.1340614626833748E-3</v>
      </c>
      <c r="CZ60" s="24">
        <f t="shared" ca="1" si="92"/>
        <v>1.3848472251091256E-2</v>
      </c>
      <c r="DA60" s="24">
        <f t="shared" ca="1" si="93"/>
        <v>2.6158225363172374E-2</v>
      </c>
      <c r="DB60" s="24">
        <f t="shared" ca="1" si="94"/>
        <v>4.7084805653710274E-2</v>
      </c>
      <c r="DC60" s="24">
        <f t="shared" ca="1" si="95"/>
        <v>7.8474676089517123E-2</v>
      </c>
      <c r="DD60" s="24">
        <f t="shared" ca="1" si="96"/>
        <v>0.11771201413427568</v>
      </c>
      <c r="DF60" s="19" cm="1">
        <f t="array" aca="1" ref="DF60" ca="1">MAX(_xlfn._xlws.FILTER(CQ60:DD60,CQ60:DD60&lt;BJ60))</f>
        <v>-4.7084805653710274E-2</v>
      </c>
      <c r="DG60" s="19" cm="1">
        <f t="array" aca="1" ref="DG60" ca="1">MIN(_xlfn._xlws.FILTER(CQ60:DD60,CQ60:DD60&gt;BJ60))</f>
        <v>-2.6158225363172374E-2</v>
      </c>
      <c r="DH60" s="2" cm="1">
        <f t="array" aca="1" ref="DH60" ca="1">_FV(EE60,"Fechamento anterior",TRUE)</f>
        <v>9.15</v>
      </c>
      <c r="DI60" s="36">
        <f t="shared" ca="1" si="22"/>
        <v>0.68324208778027096</v>
      </c>
      <c r="DJ60" s="18">
        <f t="shared" ca="1" si="97"/>
        <v>8.7191740282685508</v>
      </c>
      <c r="DK60" s="18">
        <f t="shared" ca="1" si="98"/>
        <v>8.910652237926973</v>
      </c>
      <c r="DL60" s="9"/>
      <c r="DM60" s="9"/>
      <c r="DN60" s="9"/>
      <c r="DO60" s="9"/>
      <c r="DP60" s="79">
        <v>3.0406902180249495E-2</v>
      </c>
      <c r="DQ60" s="79">
        <v>7.8901511086582124E-3</v>
      </c>
      <c r="DR60" s="79">
        <v>1.3413256884718967E-2</v>
      </c>
      <c r="DS60" s="79">
        <f t="shared" ca="1" si="25"/>
        <v>2.0926580290537899E-2</v>
      </c>
      <c r="DT60" s="47"/>
      <c r="DU60" s="43">
        <f t="shared" si="26"/>
        <v>0.4948232007495208</v>
      </c>
      <c r="DV60" s="83">
        <f t="shared" ca="1" si="27"/>
        <v>1.5375999999999999</v>
      </c>
      <c r="DW60" s="83">
        <f t="shared" ca="1" si="28"/>
        <v>4.3902000000000001</v>
      </c>
      <c r="DX60" s="83">
        <f t="shared" ca="1" si="29"/>
        <v>-2.8526000000000002</v>
      </c>
      <c r="DY60" s="67"/>
      <c r="DZ60" s="67"/>
      <c r="EA60" s="85"/>
      <c r="EB60" s="44">
        <v>77200</v>
      </c>
      <c r="EC60" s="44" cm="1">
        <f t="array" aca="1" ref="EC60" ca="1">_FV(EE60,"Volume")</f>
        <v>141300</v>
      </c>
      <c r="EE60" s="2" t="e" vm="60">
        <v>#VALUE!</v>
      </c>
      <c r="EG60" s="10" cm="1">
        <f t="array" aca="1" ref="EG60" ca="1">_FV(EE60,"Ações em circulação",TRUE)</f>
        <v>103538800</v>
      </c>
      <c r="EH60" s="21">
        <f>VLOOKUP(BH60,Fundamentus!A:U,5,FALSE)</f>
        <v>0.51100000000000001</v>
      </c>
      <c r="EI60" s="2">
        <f t="shared" ca="1" si="30"/>
        <v>1793186653.6203523</v>
      </c>
      <c r="EJ60" s="20">
        <v>147744396.86105675</v>
      </c>
      <c r="EK60" s="20">
        <f t="shared" ca="1" si="31"/>
        <v>141661745.63600785</v>
      </c>
      <c r="EM60" s="40" t="str">
        <f>IF(VLOOKUP(BH60,Fundamentus!A:U,3,FALSE)&lt;15,"Bom",IF(VLOOKUP(BH60,Fundamentus!A:U,3,FALSE)&gt;15,"Ruim","n/a"))</f>
        <v>Bom</v>
      </c>
      <c r="EN60" s="36" t="str">
        <f>IF(VLOOKUP(BH60,Fundamentus!A:U,4,FALSE)&lt;1,"Baixo",IF(VLOOKUP(BH60,Fundamentus!A:U,4,FALSE)&lt;1.5,"Moderado",IF(VLOOKUP(BH60,Fundamentus!A:U,4,FALSE)&gt;1.5,"Alto","n/a")))</f>
        <v>Moderado</v>
      </c>
      <c r="EO60" s="20" t="str">
        <f>IF(VLOOKUP(BH60,Fundamentus!A:U,8,FALSE)&lt;0,"Risco elevado",IF(VLOOKUP(BH60,Fundamentus!A:U,8,FALSE)&lt;1,"Saudável",IF(VLOOKUP(BH60,Fundamentus!A:U,8,FALSE)&lt;3,"Estável",IF(VLOOKUP(BH60,Fundamentus!A:U,8,FALSE)&gt;3,"Alerta","n/a"))))</f>
        <v>Estável</v>
      </c>
      <c r="EP60" s="36" t="str">
        <f t="shared" si="32"/>
        <v>Ruim</v>
      </c>
      <c r="EQ60" s="20" t="str">
        <f>IF(VLOOKUP(BH60,Fundamentus!A:U,12,FALSE)&lt;2,"Subvalorizada",IF(VLOOKUP(BH60,Fundamentus!A:U,12,FALSE)&lt;6,"Muita barata",IF(VLOOKUP(BH60,Fundamentus!A:U,12,FALSE)&lt;6,"Barata",IF(VLOOKUP(BH60,Fundamentus!A:U,12,FALSE)&lt;8,"Atrativa",IF(VLOOKUP(BH60,Fundamentus!A:U,12,FALSE)&gt;8,"Supervalorizada","n/a")))))</f>
        <v>Muita barata</v>
      </c>
      <c r="ES60" s="20" t="str">
        <f>IF(VLOOKUP(BH60,Fundamentus!A:U,17,FALSE)&lt;0.1,"Fraco retorno",IF(VLOOKUP(BH60,Fundamentus!A:U,17,FALSE)&gt;0.1,"Bom retorno","n/a"))</f>
        <v>Bom retorno</v>
      </c>
      <c r="ET60" s="20" t="str">
        <f>IF(VLOOKUP(BH60,Fundamentus!A:U,16,FALSE)&lt;0.1,"Ineficiente",IF(VLOOKUP(BH60,Fundamentus!A:U,16,FALSE)&gt;0.1,"Eficiente","n/a"))</f>
        <v>Eficiente</v>
      </c>
      <c r="EU60" s="41" t="str">
        <f>IF(VLOOKUP(BH60,Fundamentus!A:U,16,FALSE)&lt;0.1,"Oper. Ineficiente",IF(VLOOKUP(BH60,Fundamentus!A:U,16,FALSE)&gt;0.1,"Oper.Eficiente","n/a"))</f>
        <v>Oper.Eficiente</v>
      </c>
      <c r="EV60" s="42">
        <f>VLOOKUP(BH60,Fundamentus!A:U,14,FALSE)</f>
        <v>7.9000000000000001E-2</v>
      </c>
      <c r="EW60" s="20" t="str">
        <f>IF(VLOOKUP(BH60,Fundamentus!A:U,21,FALSE)&lt;0,"Negativo",IF(VLOOKUP(BH60,Fundamentus!A:U,21,FALSE)&lt;0.05,"Fraco",IF(VLOOKUP(BH60,Fundamentus!A:U,21,FALSE)&lt;0.1,"Bom",IF(VLOOKUP(BH60,Fundamentus!A:U,21,FALSE)&gt;0.1,"Muito bom","n/a"))))</f>
        <v>Muito bom</v>
      </c>
      <c r="EY60" s="37" t="str">
        <f>IF(VLOOKUP(BH60,Fundamentus!A:U,15,FALSE)&gt;1,"Bom",IF(VLOOKUP(BH60,Fundamentus!A:U,15,FALSE)&lt;1,"Ruim","n/a"))</f>
        <v>Bom</v>
      </c>
      <c r="EZ60" s="20" t="str">
        <f>IF(VLOOKUP(BH60,Fundamentus!A:U,20,FALSE)&lt;0.5,"Baixa",IF(VLOOKUP(BH60,Fundamentus!A:U,20,FALSE)&lt;1,"Moderada",IF(VLOOKUP(BH60,Fundamentus!A:U,20,FALSE)&lt;2,"Alerta",IF(VLOOKUP(BH60,Fundamentus!A:U,20,FALSE)&gt;2,"Alta","n/a"))))</f>
        <v>Baixa</v>
      </c>
    </row>
    <row r="61" spans="1:156" s="2" customFormat="1" ht="11.25" hidden="1" x14ac:dyDescent="0.2">
      <c r="A61" s="4">
        <v>17.690000000000001</v>
      </c>
      <c r="B61" s="4">
        <v>16.899999999999999</v>
      </c>
      <c r="C61" s="4">
        <v>17.09</v>
      </c>
      <c r="D61" s="4">
        <v>16.96</v>
      </c>
      <c r="E61" s="4">
        <v>15.85</v>
      </c>
      <c r="F61" s="4">
        <v>15.84</v>
      </c>
      <c r="G61" s="4">
        <v>15.48</v>
      </c>
      <c r="H61" s="4">
        <v>15.18</v>
      </c>
      <c r="I61" s="4">
        <v>15.22</v>
      </c>
      <c r="J61" s="4">
        <v>15.71</v>
      </c>
      <c r="K61" s="4">
        <v>15.64</v>
      </c>
      <c r="L61" s="4">
        <v>16.420000000000002</v>
      </c>
      <c r="M61" s="4">
        <v>16.95</v>
      </c>
      <c r="N61" s="4">
        <v>17.149999999999999</v>
      </c>
      <c r="O61" s="4">
        <v>19.84</v>
      </c>
      <c r="P61" s="4">
        <v>21.23</v>
      </c>
      <c r="Q61" s="4">
        <v>22.17</v>
      </c>
      <c r="R61" s="4">
        <v>22.75</v>
      </c>
      <c r="S61" s="4">
        <v>22.89</v>
      </c>
      <c r="T61" s="4">
        <v>24.24</v>
      </c>
      <c r="U61" s="4">
        <v>23.5</v>
      </c>
      <c r="V61" s="4">
        <v>22.99</v>
      </c>
      <c r="W61" s="4">
        <v>23.19</v>
      </c>
      <c r="X61" s="4">
        <v>21.29</v>
      </c>
      <c r="Y61" s="4">
        <v>22.36</v>
      </c>
      <c r="Z61" s="4">
        <v>22.87</v>
      </c>
      <c r="AA61" s="4">
        <v>23.32</v>
      </c>
      <c r="AB61" s="4">
        <v>25.4</v>
      </c>
      <c r="AC61" s="4">
        <v>24.51</v>
      </c>
      <c r="AD61" s="4">
        <v>24.75</v>
      </c>
      <c r="AE61" s="4">
        <v>24.56</v>
      </c>
      <c r="AF61" s="4">
        <v>24.21</v>
      </c>
      <c r="AG61" s="4">
        <v>24.5</v>
      </c>
      <c r="AH61" s="4">
        <v>22.41</v>
      </c>
      <c r="AI61" s="4">
        <v>22.92</v>
      </c>
      <c r="AJ61" s="4">
        <v>25</v>
      </c>
      <c r="AK61" s="4">
        <v>22.83</v>
      </c>
      <c r="AL61" s="4">
        <v>22.85</v>
      </c>
      <c r="AM61" s="4">
        <v>23.33</v>
      </c>
      <c r="AN61" s="4">
        <v>23.84</v>
      </c>
      <c r="AO61" s="4">
        <v>23.9</v>
      </c>
      <c r="AP61" s="4">
        <v>24.92</v>
      </c>
      <c r="AQ61" s="4">
        <v>26</v>
      </c>
      <c r="AR61" s="4">
        <v>25.72</v>
      </c>
      <c r="AS61" s="4">
        <v>26.8</v>
      </c>
      <c r="AT61" s="4">
        <v>24.02</v>
      </c>
      <c r="AU61" s="4">
        <v>23.835000000000001</v>
      </c>
      <c r="AV61" s="4">
        <v>23.62</v>
      </c>
      <c r="AW61" s="4">
        <v>25.2</v>
      </c>
      <c r="AX61" s="4">
        <v>25.11</v>
      </c>
      <c r="AY61" s="12">
        <v>24.85</v>
      </c>
      <c r="AZ61" s="12">
        <v>24.5</v>
      </c>
      <c r="BA61" s="12">
        <v>24.75</v>
      </c>
      <c r="BB61" s="18">
        <v>23.88</v>
      </c>
      <c r="BC61" s="63">
        <v>26.17</v>
      </c>
      <c r="BD61" s="63">
        <v>27.1</v>
      </c>
      <c r="BE61" s="63">
        <v>26.96</v>
      </c>
      <c r="BF61" s="63">
        <v>25.93</v>
      </c>
      <c r="BG61" s="91" cm="1">
        <f t="array" aca="1" ref="BG61" ca="1">_FV(EE61,"Preço")</f>
        <v>25.39</v>
      </c>
      <c r="BH61" s="93" t="s">
        <v>59</v>
      </c>
      <c r="BI61" s="32" cm="1">
        <f t="array" aca="1" ref="BI61" ca="1">_FV(EE61,"Beta")</f>
        <v>1.2997000000000001</v>
      </c>
      <c r="BJ61" s="96" cm="1">
        <f t="array" aca="1" ref="BJ61" ca="1">_FV(EE61,"Variação (%)",TRUE)</f>
        <v>7.9400000000000009E-3</v>
      </c>
      <c r="BK61" s="49"/>
      <c r="BL61" s="49"/>
      <c r="BN61" s="32"/>
      <c r="BO61" s="20" cm="1">
        <f t="array" aca="1" ref="BO61" ca="1">_FV(EE61,"Baixo")</f>
        <v>25</v>
      </c>
      <c r="BP61" s="20" cm="1">
        <f t="array" aca="1" ref="BP61" ca="1">_FV(EE61,"Alto")</f>
        <v>25.79</v>
      </c>
      <c r="BQ61" s="32"/>
      <c r="BR61" s="74">
        <f ca="1">SQRT(22.5*(BG61/VLOOKUP(BH61,Fundamentus!A:U,3,FALSE))*(BG61/VLOOKUP(BH61,Fundamentus!A:U,4,FALSE)))</f>
        <v>41.976022023616224</v>
      </c>
      <c r="BT61" s="73">
        <f t="shared" ca="1" si="0"/>
        <v>-2.0825298881604285E-2</v>
      </c>
      <c r="BU61" s="36">
        <f t="shared" si="1"/>
        <v>0.52402487280949683</v>
      </c>
      <c r="BV61" s="8"/>
      <c r="BW61" s="72">
        <f t="shared" si="2"/>
        <v>15.18</v>
      </c>
      <c r="BX61" s="72">
        <f t="shared" si="3"/>
        <v>22.156810344827587</v>
      </c>
      <c r="BY61" s="72">
        <f t="shared" si="4"/>
        <v>27.1</v>
      </c>
      <c r="BZ61" s="17"/>
      <c r="CA61" s="17"/>
      <c r="CB61" s="43">
        <f t="shared" si="5"/>
        <v>25.364830021969773</v>
      </c>
      <c r="CC61" s="18">
        <f t="shared" si="6"/>
        <v>26.364329896907236</v>
      </c>
      <c r="CD61" s="43">
        <f t="shared" si="7"/>
        <v>27.363829771844699</v>
      </c>
      <c r="CE61" s="98">
        <f t="shared" ca="1" si="8"/>
        <v>-0.97481742753414324</v>
      </c>
      <c r="CF61" s="17"/>
      <c r="CG61" s="20">
        <f t="shared" si="9"/>
        <v>6.4533333333333331</v>
      </c>
      <c r="CH61" s="20">
        <f t="shared" si="10"/>
        <v>10.816666666666666</v>
      </c>
      <c r="CI61" s="20">
        <f t="shared" si="11"/>
        <v>18.373333333333335</v>
      </c>
      <c r="CJ61" s="49">
        <f t="shared" si="12"/>
        <v>22.736666666666668</v>
      </c>
      <c r="CK61" s="20">
        <f t="shared" si="13"/>
        <v>30.293333333333337</v>
      </c>
      <c r="CL61" s="20">
        <f t="shared" si="14"/>
        <v>34.656666666666666</v>
      </c>
      <c r="CM61" s="20">
        <f t="shared" si="15"/>
        <v>42.213333333333338</v>
      </c>
      <c r="CN61" s="2" cm="1">
        <f t="array" aca="1" ref="CN61" ca="1">MAX(_xlfn._xlws.FILTER(CG61:CM61,CG61:CM61&lt;BG61))</f>
        <v>22.736666666666668</v>
      </c>
      <c r="CO61" s="2" cm="1">
        <f t="array" aca="1" ref="CO61" ca="1">MIN(_xlfn._xlws.FILTER($CG61:$CM61,$CG61:$CM61&gt;BG61))</f>
        <v>30.293333333333337</v>
      </c>
      <c r="CP61" s="19">
        <f t="shared" ca="1" si="82"/>
        <v>0.33235595953672492</v>
      </c>
      <c r="CQ61" s="23">
        <f t="shared" ca="1" si="83"/>
        <v>-0.16617797976836246</v>
      </c>
      <c r="CR61" s="23">
        <f t="shared" ca="1" si="84"/>
        <v>-0.11078531984557498</v>
      </c>
      <c r="CS61" s="23">
        <f t="shared" ca="1" si="85"/>
        <v>-6.647119190734499E-2</v>
      </c>
      <c r="CT61" s="23">
        <f t="shared" ca="1" si="86"/>
        <v>-3.6928439948524988E-2</v>
      </c>
      <c r="CU61" s="23">
        <f t="shared" ca="1" si="87"/>
        <v>-1.9550350560983819E-2</v>
      </c>
      <c r="CV61" s="23">
        <f t="shared" ca="1" si="88"/>
        <v>-1.0071392713234088E-2</v>
      </c>
      <c r="CW61" s="23">
        <f t="shared" ca="1" si="89"/>
        <v>-5.1131686082573069E-3</v>
      </c>
      <c r="CX61" s="24">
        <f t="shared" ca="1" si="90"/>
        <v>5.1131686082573069E-3</v>
      </c>
      <c r="CY61" s="24">
        <f t="shared" ca="1" si="91"/>
        <v>1.0071392713234088E-2</v>
      </c>
      <c r="CZ61" s="24">
        <f t="shared" ca="1" si="92"/>
        <v>1.9550350560983819E-2</v>
      </c>
      <c r="DA61" s="24">
        <f t="shared" ca="1" si="93"/>
        <v>3.6928439948524988E-2</v>
      </c>
      <c r="DB61" s="24">
        <f t="shared" ca="1" si="94"/>
        <v>6.647119190734499E-2</v>
      </c>
      <c r="DC61" s="24">
        <f t="shared" ca="1" si="95"/>
        <v>0.11078531984557498</v>
      </c>
      <c r="DD61" s="24">
        <f t="shared" ca="1" si="96"/>
        <v>0.16617797976836246</v>
      </c>
      <c r="DF61" s="19" cm="1">
        <f t="array" aca="1" ref="DF61" ca="1">MAX(_xlfn._xlws.FILTER(CQ61:DD61,CQ61:DD61&lt;BJ61))</f>
        <v>5.1131686082573069E-3</v>
      </c>
      <c r="DG61" s="19" cm="1">
        <f t="array" aca="1" ref="DG61" ca="1">MIN(_xlfn._xlws.FILTER(CQ61:DD61,CQ61:DD61&gt;BJ61))</f>
        <v>1.0071392713234088E-2</v>
      </c>
      <c r="DH61" s="2" cm="1">
        <f t="array" aca="1" ref="DH61" ca="1">_FV(EE61,"Fechamento anterior",TRUE)</f>
        <v>25.19</v>
      </c>
      <c r="DI61" s="36">
        <f t="shared" ca="1" si="22"/>
        <v>0.57006095863759942</v>
      </c>
      <c r="DJ61" s="18">
        <f t="shared" ca="1" si="97"/>
        <v>25.318800717242002</v>
      </c>
      <c r="DK61" s="18">
        <f t="shared" ca="1" si="98"/>
        <v>25.443698382446367</v>
      </c>
      <c r="DL61" s="9"/>
      <c r="DM61" s="9"/>
      <c r="DN61" s="9"/>
      <c r="DO61" s="9"/>
      <c r="DP61" s="79">
        <v>8.6429018136335179E-3</v>
      </c>
      <c r="DQ61" s="79">
        <v>4.2770133092713773E-3</v>
      </c>
      <c r="DR61" s="79">
        <v>8.1766430912541023E-3</v>
      </c>
      <c r="DS61" s="79">
        <f t="shared" ca="1" si="25"/>
        <v>4.9582241049767814E-3</v>
      </c>
      <c r="DT61" s="47"/>
      <c r="DU61" s="43">
        <f t="shared" si="26"/>
        <v>0.49974993746873081</v>
      </c>
      <c r="DV61" s="83">
        <f t="shared" ca="1" si="27"/>
        <v>1.7258</v>
      </c>
      <c r="DW61" s="83">
        <f t="shared" ca="1" si="28"/>
        <v>0.50570000000000004</v>
      </c>
      <c r="DX61" s="83">
        <f t="shared" ca="1" si="29"/>
        <v>1.2201</v>
      </c>
      <c r="DY61" s="67"/>
      <c r="DZ61" s="67"/>
      <c r="EA61" s="85"/>
      <c r="EB61" s="44">
        <v>331800</v>
      </c>
      <c r="EC61" s="44" cm="1">
        <f t="array" aca="1" ref="EC61" ca="1">_FV(EE61,"Volume")</f>
        <v>248600</v>
      </c>
      <c r="EE61" s="2" t="e" vm="61">
        <v>#VALUE!</v>
      </c>
      <c r="EG61" s="10" cm="1">
        <f t="array" aca="1" ref="EG61" ca="1">_FV(EE61,"Ações em circulação",TRUE)</f>
        <v>81836380</v>
      </c>
      <c r="EH61" s="21">
        <f>VLOOKUP(BH61,Fundamentus!A:U,5,FALSE)</f>
        <v>0.96099999999999997</v>
      </c>
      <c r="EI61" s="2">
        <f t="shared" ca="1" si="30"/>
        <v>2162149519.4588971</v>
      </c>
      <c r="EJ61" s="20">
        <v>309359654.95248705</v>
      </c>
      <c r="EK61" s="20">
        <f t="shared" ca="1" si="31"/>
        <v>302917147.67619151</v>
      </c>
      <c r="EM61" s="40" t="str">
        <f>IF(VLOOKUP(BH61,Fundamentus!A:U,3,FALSE)&lt;15,"Bom",IF(VLOOKUP(BH61,Fundamentus!A:U,3,FALSE)&gt;15,"Ruim","n/a"))</f>
        <v>Bom</v>
      </c>
      <c r="EN61" s="36" t="str">
        <f>IF(VLOOKUP(BH61,Fundamentus!A:U,4,FALSE)&lt;1,"Baixo",IF(VLOOKUP(BH61,Fundamentus!A:U,4,FALSE)&lt;1.5,"Moderado",IF(VLOOKUP(BH61,Fundamentus!A:U,4,FALSE)&gt;1.5,"Alto","n/a")))</f>
        <v>Moderado</v>
      </c>
      <c r="EO61" s="20" t="str">
        <f>IF(VLOOKUP(BH61,Fundamentus!A:U,8,FALSE)&lt;0,"Risco elevado",IF(VLOOKUP(BH61,Fundamentus!A:U,8,FALSE)&lt;1,"Saudável",IF(VLOOKUP(BH61,Fundamentus!A:U,8,FALSE)&lt;3,"Estável",IF(VLOOKUP(BH61,Fundamentus!A:U,8,FALSE)&gt;3,"Alerta","n/a"))))</f>
        <v>Estável</v>
      </c>
      <c r="EP61" s="36" t="str">
        <f t="shared" si="32"/>
        <v>Ruim</v>
      </c>
      <c r="EQ61" s="20" t="str">
        <f>IF(VLOOKUP(BH61,Fundamentus!A:U,12,FALSE)&lt;2,"Subvalorizada",IF(VLOOKUP(BH61,Fundamentus!A:U,12,FALSE)&lt;6,"Muita barata",IF(VLOOKUP(BH61,Fundamentus!A:U,12,FALSE)&lt;6,"Barata",IF(VLOOKUP(BH61,Fundamentus!A:U,12,FALSE)&lt;8,"Atrativa",IF(VLOOKUP(BH61,Fundamentus!A:U,12,FALSE)&gt;8,"Supervalorizada","n/a")))))</f>
        <v>Muita barata</v>
      </c>
      <c r="ES61" s="20" t="str">
        <f>IF(VLOOKUP(BH61,Fundamentus!A:U,17,FALSE)&lt;0.1,"Fraco retorno",IF(VLOOKUP(BH61,Fundamentus!A:U,17,FALSE)&gt;0.1,"Bom retorno","n/a"))</f>
        <v>Bom retorno</v>
      </c>
      <c r="ET61" s="20" t="str">
        <f>IF(VLOOKUP(BH61,Fundamentus!A:U,16,FALSE)&lt;0.1,"Ineficiente",IF(VLOOKUP(BH61,Fundamentus!A:U,16,FALSE)&gt;0.1,"Eficiente","n/a"))</f>
        <v>Eficiente</v>
      </c>
      <c r="EU61" s="41" t="str">
        <f>IF(VLOOKUP(BH61,Fundamentus!A:U,16,FALSE)&lt;0.1,"Oper. Ineficiente",IF(VLOOKUP(BH61,Fundamentus!A:U,16,FALSE)&gt;0.1,"Oper.Eficiente","n/a"))</f>
        <v>Oper.Eficiente</v>
      </c>
      <c r="EV61" s="42">
        <f>VLOOKUP(BH61,Fundamentus!A:U,14,FALSE)</f>
        <v>0.1401</v>
      </c>
      <c r="EW61" s="20" t="str">
        <f>IF(VLOOKUP(BH61,Fundamentus!A:U,21,FALSE)&lt;0,"Negativo",IF(VLOOKUP(BH61,Fundamentus!A:U,21,FALSE)&lt;0.05,"Fraco",IF(VLOOKUP(BH61,Fundamentus!A:U,21,FALSE)&lt;0.1,"Bom",IF(VLOOKUP(BH61,Fundamentus!A:U,21,FALSE)&gt;0.1,"Muito bom","n/a"))))</f>
        <v>Fraco</v>
      </c>
      <c r="EY61" s="37" t="str">
        <f>IF(VLOOKUP(BH61,Fundamentus!A:U,15,FALSE)&gt;1,"Bom",IF(VLOOKUP(BH61,Fundamentus!A:U,15,FALSE)&lt;1,"Ruim","n/a"))</f>
        <v>Bom</v>
      </c>
      <c r="EZ61" s="20" t="str">
        <f>IF(VLOOKUP(BH61,Fundamentus!A:U,20,FALSE)&lt;0.5,"Baixa",IF(VLOOKUP(BH61,Fundamentus!A:U,20,FALSE)&lt;1,"Moderada",IF(VLOOKUP(BH61,Fundamentus!A:U,20,FALSE)&lt;2,"Alerta",IF(VLOOKUP(BH61,Fundamentus!A:U,20,FALSE)&gt;2,"Alta","n/a"))))</f>
        <v>Baixa</v>
      </c>
    </row>
    <row r="62" spans="1:156" s="2" customFormat="1" ht="11.25" hidden="1" x14ac:dyDescent="0.2">
      <c r="A62" s="4">
        <v>2.69</v>
      </c>
      <c r="B62" s="4">
        <v>2.59</v>
      </c>
      <c r="C62" s="4">
        <v>2.56</v>
      </c>
      <c r="D62" s="4">
        <v>2.5299999999999998</v>
      </c>
      <c r="E62" s="4">
        <v>2.5299999999999998</v>
      </c>
      <c r="F62" s="4">
        <v>2.4900000000000002</v>
      </c>
      <c r="G62" s="4">
        <v>2.62</v>
      </c>
      <c r="H62" s="4">
        <v>2.81</v>
      </c>
      <c r="I62" s="4">
        <v>2.5499999999999998</v>
      </c>
      <c r="J62" s="4">
        <v>2.57</v>
      </c>
      <c r="K62" s="4">
        <v>2.93</v>
      </c>
      <c r="L62" s="4">
        <v>2.72</v>
      </c>
      <c r="M62" s="4">
        <v>2.62</v>
      </c>
      <c r="N62" s="4">
        <v>2.7</v>
      </c>
      <c r="O62" s="4">
        <v>2.36</v>
      </c>
      <c r="P62" s="4">
        <v>2.4</v>
      </c>
      <c r="Q62" s="4">
        <v>2.37</v>
      </c>
      <c r="R62" s="4">
        <v>2.37</v>
      </c>
      <c r="S62" s="4">
        <v>2.34</v>
      </c>
      <c r="T62" s="4">
        <v>2.41</v>
      </c>
      <c r="U62" s="4">
        <v>2.5</v>
      </c>
      <c r="V62" s="4">
        <v>2.7</v>
      </c>
      <c r="W62" s="4">
        <v>2.61</v>
      </c>
      <c r="X62" s="4">
        <v>2.5099999999999998</v>
      </c>
      <c r="Y62" s="4">
        <v>2.59</v>
      </c>
      <c r="Z62" s="4">
        <v>2.52</v>
      </c>
      <c r="AA62" s="4">
        <v>2.5</v>
      </c>
      <c r="AB62" s="4">
        <v>2.4300000000000002</v>
      </c>
      <c r="AC62" s="4">
        <v>2.44</v>
      </c>
      <c r="AD62" s="4">
        <v>2.29</v>
      </c>
      <c r="AE62" s="4">
        <v>2.39</v>
      </c>
      <c r="AF62" s="4">
        <v>2.2799999999999998</v>
      </c>
      <c r="AG62" s="4">
        <v>2.25</v>
      </c>
      <c r="AH62" s="4">
        <v>1.91</v>
      </c>
      <c r="AI62" s="4">
        <v>1.86</v>
      </c>
      <c r="AJ62" s="4">
        <v>1.75</v>
      </c>
      <c r="AK62" s="4">
        <v>1.89</v>
      </c>
      <c r="AL62" s="4">
        <v>2.35</v>
      </c>
      <c r="AM62" s="4">
        <v>2.2000000000000002</v>
      </c>
      <c r="AN62" s="4">
        <v>2.29</v>
      </c>
      <c r="AO62" s="4">
        <v>2.37</v>
      </c>
      <c r="AP62" s="4">
        <v>2.2999999999999998</v>
      </c>
      <c r="AQ62" s="4">
        <v>2.2000000000000002</v>
      </c>
      <c r="AR62" s="4">
        <v>2.14</v>
      </c>
      <c r="AS62" s="4">
        <v>2.23</v>
      </c>
      <c r="AT62" s="4">
        <v>2.2000000000000002</v>
      </c>
      <c r="AU62" s="4">
        <v>2.29</v>
      </c>
      <c r="AV62" s="4">
        <v>2.27</v>
      </c>
      <c r="AW62" s="4">
        <v>2.2599999999999998</v>
      </c>
      <c r="AX62" s="4">
        <v>2.2000000000000002</v>
      </c>
      <c r="AY62" s="12">
        <v>2.17</v>
      </c>
      <c r="AZ62" s="12">
        <v>2.04</v>
      </c>
      <c r="BA62" s="12">
        <v>2.04</v>
      </c>
      <c r="BB62" s="18">
        <v>1.98</v>
      </c>
      <c r="BC62" s="63">
        <v>2</v>
      </c>
      <c r="BD62" s="63">
        <v>1.98</v>
      </c>
      <c r="BE62" s="63">
        <v>1.96</v>
      </c>
      <c r="BF62" s="63">
        <v>2.0299999999999998</v>
      </c>
      <c r="BG62" s="91" cm="1">
        <f t="array" aca="1" ref="BG62" ca="1">_FV(EE62,"Preço")</f>
        <v>1.96</v>
      </c>
      <c r="BH62" s="93" t="s">
        <v>60</v>
      </c>
      <c r="BI62" s="32" cm="1">
        <f t="array" aca="1" ref="BI62" ca="1">_FV(EE62,"Beta")</f>
        <v>0.9889</v>
      </c>
      <c r="BJ62" s="96" cm="1">
        <f t="array" aca="1" ref="BJ62" ca="1">_FV(EE62,"Variação (%)",TRUE)</f>
        <v>-0.02</v>
      </c>
      <c r="BK62" s="49"/>
      <c r="BL62" s="49"/>
      <c r="BN62" s="32"/>
      <c r="BO62" s="20" cm="1">
        <f t="array" aca="1" ref="BO62" ca="1">_FV(EE62,"Baixo")</f>
        <v>1.96</v>
      </c>
      <c r="BP62" s="20" cm="1">
        <f t="array" aca="1" ref="BP62" ca="1">_FV(EE62,"Alto")</f>
        <v>1.99</v>
      </c>
      <c r="BQ62" s="32"/>
      <c r="BR62" s="74" t="e">
        <f ca="1">SQRT(22.5*(BG62/VLOOKUP(BH62,Fundamentus!A:U,3,FALSE))*(BG62/VLOOKUP(BH62,Fundamentus!A:U,4,FALSE)))</f>
        <v>#NUM!</v>
      </c>
      <c r="BT62" s="73">
        <f t="shared" ca="1" si="0"/>
        <v>-3.4482758620689578E-2</v>
      </c>
      <c r="BU62" s="36">
        <f t="shared" si="1"/>
        <v>-0.27137546468401486</v>
      </c>
      <c r="BV62" s="8"/>
      <c r="BW62" s="72">
        <f t="shared" si="2"/>
        <v>1.75</v>
      </c>
      <c r="BX62" s="72">
        <f t="shared" si="3"/>
        <v>2.3462068965517244</v>
      </c>
      <c r="BY62" s="72">
        <f t="shared" si="4"/>
        <v>2.93</v>
      </c>
      <c r="BZ62" s="17"/>
      <c r="CA62" s="17"/>
      <c r="CB62" s="43">
        <f t="shared" si="5"/>
        <v>1.9565832529438383</v>
      </c>
      <c r="CC62" s="18">
        <f t="shared" si="6"/>
        <v>2.0083036551077811</v>
      </c>
      <c r="CD62" s="43">
        <f t="shared" si="7"/>
        <v>2.0600240572717241</v>
      </c>
      <c r="CE62" s="98">
        <f t="shared" ca="1" si="8"/>
        <v>-0.93393811893938272</v>
      </c>
      <c r="CF62" s="17"/>
      <c r="CG62" s="20">
        <f t="shared" si="9"/>
        <v>0.3633333333333324</v>
      </c>
      <c r="CH62" s="20">
        <f t="shared" si="10"/>
        <v>1.0566666666666662</v>
      </c>
      <c r="CI62" s="20">
        <f t="shared" si="11"/>
        <v>1.5433333333333326</v>
      </c>
      <c r="CJ62" s="49">
        <f t="shared" si="12"/>
        <v>2.2366666666666664</v>
      </c>
      <c r="CK62" s="20">
        <f t="shared" si="13"/>
        <v>2.7233333333333327</v>
      </c>
      <c r="CL62" s="20">
        <f t="shared" si="14"/>
        <v>3.4166666666666665</v>
      </c>
      <c r="CM62" s="20">
        <f t="shared" si="15"/>
        <v>3.9033333333333329</v>
      </c>
      <c r="CN62" s="2" cm="1">
        <f t="array" aca="1" ref="CN62" ca="1">MAX(_xlfn._xlws.FILTER(CG62:CM62,CG62:CM62&lt;BG62))</f>
        <v>1.5433333333333326</v>
      </c>
      <c r="CO62" s="2" cm="1">
        <f t="array" aca="1" ref="CO62" ca="1">MIN(_xlfn._xlws.FILTER($CG62:$CM62,$CG62:$CM62&gt;BG62))</f>
        <v>2.2366666666666664</v>
      </c>
      <c r="CP62" s="19">
        <f t="shared" ca="1" si="82"/>
        <v>0.44924406047516241</v>
      </c>
      <c r="CQ62" s="23">
        <f t="shared" ca="1" si="83"/>
        <v>-0.22462203023758121</v>
      </c>
      <c r="CR62" s="23">
        <f t="shared" ca="1" si="84"/>
        <v>-0.14974802015838748</v>
      </c>
      <c r="CS62" s="23">
        <f t="shared" ca="1" si="85"/>
        <v>-8.9848812095032482E-2</v>
      </c>
      <c r="CT62" s="23">
        <f t="shared" ca="1" si="86"/>
        <v>-4.9916006719462488E-2</v>
      </c>
      <c r="CU62" s="23">
        <f t="shared" ca="1" si="87"/>
        <v>-2.6426121204421317E-2</v>
      </c>
      <c r="CV62" s="23">
        <f t="shared" ca="1" si="88"/>
        <v>-1.3613456378035224E-2</v>
      </c>
      <c r="CW62" s="23">
        <f t="shared" ca="1" si="89"/>
        <v>-6.9114470842332682E-3</v>
      </c>
      <c r="CX62" s="24">
        <f t="shared" ca="1" si="90"/>
        <v>6.9114470842332682E-3</v>
      </c>
      <c r="CY62" s="24">
        <f t="shared" ca="1" si="91"/>
        <v>1.3613456378035224E-2</v>
      </c>
      <c r="CZ62" s="24">
        <f t="shared" ca="1" si="92"/>
        <v>2.6426121204421317E-2</v>
      </c>
      <c r="DA62" s="24">
        <f t="shared" ca="1" si="93"/>
        <v>4.9916006719462488E-2</v>
      </c>
      <c r="DB62" s="24">
        <f t="shared" ca="1" si="94"/>
        <v>8.9848812095032482E-2</v>
      </c>
      <c r="DC62" s="24">
        <f t="shared" ca="1" si="95"/>
        <v>0.14974802015838748</v>
      </c>
      <c r="DD62" s="24">
        <f t="shared" ca="1" si="96"/>
        <v>0.22462203023758121</v>
      </c>
      <c r="DF62" s="19" cm="1">
        <f t="array" aca="1" ref="DF62" ca="1">MAX(_xlfn._xlws.FILTER(CQ62:DD62,CQ62:DD62&lt;BJ62))</f>
        <v>-2.6426121204421317E-2</v>
      </c>
      <c r="DG62" s="19" cm="1">
        <f t="array" aca="1" ref="DG62" ca="1">MIN(_xlfn._xlws.FILTER(CQ62:DD62,CQ62:DD62&gt;BJ62))</f>
        <v>-1.3613456378035224E-2</v>
      </c>
      <c r="DH62" s="2" cm="1">
        <f t="array" aca="1" ref="DH62" ca="1">_FV(EE62,"Fechamento anterior",TRUE)</f>
        <v>2</v>
      </c>
      <c r="DI62" s="36">
        <f t="shared" ca="1" si="22"/>
        <v>0.50154447115384748</v>
      </c>
      <c r="DJ62" s="18">
        <f t="shared" ca="1" si="97"/>
        <v>1.9471477575911573</v>
      </c>
      <c r="DK62" s="18">
        <f t="shared" ca="1" si="98"/>
        <v>1.9727730872439295</v>
      </c>
      <c r="DL62" s="9"/>
      <c r="DM62" s="9"/>
      <c r="DN62" s="9"/>
      <c r="DO62" s="9"/>
      <c r="DP62" s="79">
        <v>3.1820728291316568E-2</v>
      </c>
      <c r="DQ62" s="79">
        <v>1.7031532436232177E-2</v>
      </c>
      <c r="DR62" s="79">
        <v>2.1213818860877705E-2</v>
      </c>
      <c r="DS62" s="79">
        <f t="shared" ca="1" si="25"/>
        <v>1.2812664826386093E-2</v>
      </c>
      <c r="DT62" s="47"/>
      <c r="DU62" s="43">
        <f t="shared" si="26"/>
        <v>2.5860201081971443E-2</v>
      </c>
      <c r="DV62" s="83">
        <f t="shared" ca="1" si="27"/>
        <v>1.415</v>
      </c>
      <c r="DW62" s="83">
        <f t="shared" ca="1" si="28"/>
        <v>2.9889000000000001</v>
      </c>
      <c r="DX62" s="83">
        <f t="shared" ca="1" si="29"/>
        <v>-1.5739000000000001</v>
      </c>
      <c r="DY62" s="67"/>
      <c r="DZ62" s="67"/>
      <c r="EA62" s="85"/>
      <c r="EB62" s="44">
        <v>1400</v>
      </c>
      <c r="EC62" s="44" cm="1">
        <f t="array" aca="1" ref="EC62" ca="1">_FV(EE62,"Volume")</f>
        <v>3100</v>
      </c>
      <c r="EE62" s="2" t="e" vm="62">
        <v>#VALUE!</v>
      </c>
      <c r="EG62" s="10" cm="1">
        <f t="array" aca="1" ref="EG62" ca="1">_FV(EE62,"Ações em circulação",TRUE)</f>
        <v>11900000</v>
      </c>
      <c r="EH62" s="21">
        <f>VLOOKUP(BH62,Fundamentus!A:U,5,FALSE)</f>
        <v>0.77200000000000002</v>
      </c>
      <c r="EI62" s="2">
        <f t="shared" ca="1" si="30"/>
        <v>30212435.233160622</v>
      </c>
      <c r="EJ62" s="20">
        <v>2043331.7357512948</v>
      </c>
      <c r="EK62" s="20">
        <f t="shared" ca="1" si="31"/>
        <v>1972872.0207253885</v>
      </c>
      <c r="EM62" s="40" t="str">
        <f>IF(VLOOKUP(BH62,Fundamentus!A:U,3,FALSE)&lt;15,"Bom",IF(VLOOKUP(BH62,Fundamentus!A:U,3,FALSE)&gt;15,"Ruim","n/a"))</f>
        <v>Bom</v>
      </c>
      <c r="EN62" s="36" t="str">
        <f>IF(VLOOKUP(BH62,Fundamentus!A:U,4,FALSE)&lt;1,"Baixo",IF(VLOOKUP(BH62,Fundamentus!A:U,4,FALSE)&lt;1.5,"Moderado",IF(VLOOKUP(BH62,Fundamentus!A:U,4,FALSE)&gt;1.5,"Alto","n/a")))</f>
        <v>Baixo</v>
      </c>
      <c r="EO62" s="20" t="str">
        <f>IF(VLOOKUP(BH62,Fundamentus!A:U,8,FALSE)&lt;0,"Risco elevado",IF(VLOOKUP(BH62,Fundamentus!A:U,8,FALSE)&lt;1,"Saudável",IF(VLOOKUP(BH62,Fundamentus!A:U,8,FALSE)&lt;3,"Estável",IF(VLOOKUP(BH62,Fundamentus!A:U,8,FALSE)&gt;3,"Alerta","n/a"))))</f>
        <v>Saudável</v>
      </c>
      <c r="EP62" s="36" t="str">
        <f t="shared" si="32"/>
        <v>Ruim</v>
      </c>
      <c r="EQ62" s="20" t="str">
        <f>IF(VLOOKUP(BH62,Fundamentus!A:U,12,FALSE)&lt;2,"Subvalorizada",IF(VLOOKUP(BH62,Fundamentus!A:U,12,FALSE)&lt;6,"Muita barata",IF(VLOOKUP(BH62,Fundamentus!A:U,12,FALSE)&lt;6,"Barata",IF(VLOOKUP(BH62,Fundamentus!A:U,12,FALSE)&lt;8,"Atrativa",IF(VLOOKUP(BH62,Fundamentus!A:U,12,FALSE)&gt;8,"Supervalorizada","n/a")))))</f>
        <v>Supervalorizada</v>
      </c>
      <c r="ES62" s="20" t="str">
        <f>IF(VLOOKUP(BH62,Fundamentus!A:U,17,FALSE)&lt;0.1,"Fraco retorno",IF(VLOOKUP(BH62,Fundamentus!A:U,17,FALSE)&gt;0.1,"Bom retorno","n/a"))</f>
        <v>Fraco retorno</v>
      </c>
      <c r="ET62" s="20" t="str">
        <f>IF(VLOOKUP(BH62,Fundamentus!A:U,16,FALSE)&lt;0.1,"Ineficiente",IF(VLOOKUP(BH62,Fundamentus!A:U,16,FALSE)&gt;0.1,"Eficiente","n/a"))</f>
        <v>Ineficiente</v>
      </c>
      <c r="EU62" s="41" t="str">
        <f>IF(VLOOKUP(BH62,Fundamentus!A:U,16,FALSE)&lt;0.1,"Oper. Ineficiente",IF(VLOOKUP(BH62,Fundamentus!A:U,16,FALSE)&gt;0.1,"Oper.Eficiente","n/a"))</f>
        <v>Oper. Ineficiente</v>
      </c>
      <c r="EV62" s="42">
        <f>VLOOKUP(BH62,Fundamentus!A:U,14,FALSE)</f>
        <v>6.5299999999999997E-2</v>
      </c>
      <c r="EW62" s="20" t="str">
        <f>IF(VLOOKUP(BH62,Fundamentus!A:U,21,FALSE)&lt;0,"Negativo",IF(VLOOKUP(BH62,Fundamentus!A:U,21,FALSE)&lt;0.05,"Fraco",IF(VLOOKUP(BH62,Fundamentus!A:U,21,FALSE)&lt;0.1,"Bom",IF(VLOOKUP(BH62,Fundamentus!A:U,21,FALSE)&gt;0.1,"Muito bom","n/a"))))</f>
        <v>Negativo</v>
      </c>
      <c r="EY62" s="37" t="str">
        <f>IF(VLOOKUP(BH62,Fundamentus!A:U,15,FALSE)&gt;1,"Bom",IF(VLOOKUP(BH62,Fundamentus!A:U,15,FALSE)&lt;1,"Ruim","n/a"))</f>
        <v>Bom</v>
      </c>
      <c r="EZ62" s="20" t="str">
        <f>IF(VLOOKUP(BH62,Fundamentus!A:U,20,FALSE)&lt;0.5,"Baixa",IF(VLOOKUP(BH62,Fundamentus!A:U,20,FALSE)&lt;1,"Moderada",IF(VLOOKUP(BH62,Fundamentus!A:U,20,FALSE)&lt;2,"Alerta",IF(VLOOKUP(BH62,Fundamentus!A:U,20,FALSE)&gt;2,"Alta","n/a"))))</f>
        <v>Baixa</v>
      </c>
    </row>
    <row r="63" spans="1:156" s="2" customFormat="1" ht="11.25" hidden="1" x14ac:dyDescent="0.2">
      <c r="A63" s="4">
        <v>33.25</v>
      </c>
      <c r="B63" s="4">
        <v>31.08</v>
      </c>
      <c r="C63" s="4">
        <v>31.5</v>
      </c>
      <c r="D63" s="4">
        <v>27.32</v>
      </c>
      <c r="E63" s="4">
        <v>28.19</v>
      </c>
      <c r="F63" s="4">
        <v>26.26</v>
      </c>
      <c r="G63" s="4">
        <v>25.9</v>
      </c>
      <c r="H63" s="4">
        <v>25.61</v>
      </c>
      <c r="I63" s="4">
        <v>27.52</v>
      </c>
      <c r="J63" s="4">
        <v>28.6</v>
      </c>
      <c r="K63" s="4">
        <v>27.6</v>
      </c>
      <c r="L63" s="4">
        <v>27.14</v>
      </c>
      <c r="M63" s="4">
        <v>25.68</v>
      </c>
      <c r="N63" s="4">
        <v>26.64</v>
      </c>
      <c r="O63" s="4">
        <v>29.48</v>
      </c>
      <c r="P63" s="4">
        <v>28.33</v>
      </c>
      <c r="Q63" s="4">
        <v>27.72</v>
      </c>
      <c r="R63" s="4">
        <v>26.37</v>
      </c>
      <c r="S63" s="4">
        <v>22.87</v>
      </c>
      <c r="T63" s="4">
        <v>22.07</v>
      </c>
      <c r="U63" s="4">
        <v>18.18</v>
      </c>
      <c r="V63" s="4">
        <v>17.78</v>
      </c>
      <c r="W63" s="4">
        <v>17.96</v>
      </c>
      <c r="X63" s="4">
        <v>17.440000000000001</v>
      </c>
      <c r="Y63" s="4">
        <v>17.25</v>
      </c>
      <c r="Z63" s="4">
        <v>17.03</v>
      </c>
      <c r="AA63" s="4">
        <v>16.600000000000001</v>
      </c>
      <c r="AB63" s="4">
        <v>16.18</v>
      </c>
      <c r="AC63" s="4">
        <v>16.649999999999999</v>
      </c>
      <c r="AD63" s="4">
        <v>19.34</v>
      </c>
      <c r="AE63" s="4">
        <v>19.88</v>
      </c>
      <c r="AF63" s="4">
        <v>21.25</v>
      </c>
      <c r="AG63" s="4">
        <v>20.14</v>
      </c>
      <c r="AH63" s="4">
        <v>19.13</v>
      </c>
      <c r="AI63" s="4">
        <v>22.57</v>
      </c>
      <c r="AJ63" s="4">
        <v>23.2</v>
      </c>
      <c r="AK63" s="4">
        <v>24.92</v>
      </c>
      <c r="AL63" s="4">
        <v>25.34</v>
      </c>
      <c r="AM63" s="4">
        <v>22.66</v>
      </c>
      <c r="AN63" s="4">
        <v>22.43</v>
      </c>
      <c r="AO63" s="4">
        <v>20.76</v>
      </c>
      <c r="AP63" s="4">
        <v>20.399999999999999</v>
      </c>
      <c r="AQ63" s="4">
        <v>19.170000000000002</v>
      </c>
      <c r="AR63" s="4">
        <v>18.010000000000002</v>
      </c>
      <c r="AS63" s="4">
        <v>17.82</v>
      </c>
      <c r="AT63" s="4">
        <v>17.71</v>
      </c>
      <c r="AU63" s="4">
        <v>19.3</v>
      </c>
      <c r="AV63" s="4">
        <v>23.1</v>
      </c>
      <c r="AW63" s="4">
        <v>18.34</v>
      </c>
      <c r="AX63" s="4">
        <v>17.260000000000002</v>
      </c>
      <c r="AY63" s="12">
        <v>18.309999999999999</v>
      </c>
      <c r="AZ63" s="12">
        <v>18.510000000000002</v>
      </c>
      <c r="BA63" s="12">
        <v>17.36</v>
      </c>
      <c r="BB63" s="18">
        <v>19.66</v>
      </c>
      <c r="BC63" s="63">
        <v>19.27</v>
      </c>
      <c r="BD63" s="63">
        <v>18.2</v>
      </c>
      <c r="BE63" s="63">
        <v>18.899999999999999</v>
      </c>
      <c r="BF63" s="63">
        <v>19.649999999999999</v>
      </c>
      <c r="BG63" s="91" cm="1">
        <f t="array" aca="1" ref="BG63" ca="1">_FV(EE63,"Preço")</f>
        <v>20.78</v>
      </c>
      <c r="BH63" s="93" t="s">
        <v>61</v>
      </c>
      <c r="BI63" s="32" cm="1">
        <f t="array" aca="1" ref="BI63" ca="1">_FV(EE63,"Beta")</f>
        <v>1.2834000000000001</v>
      </c>
      <c r="BJ63" s="96" cm="1">
        <f t="array" aca="1" ref="BJ63" ca="1">_FV(EE63,"Variação (%)",TRUE)</f>
        <v>1.5143999999999999E-2</v>
      </c>
      <c r="BK63" s="49"/>
      <c r="BL63" s="49"/>
      <c r="BN63" s="32"/>
      <c r="BO63" s="20" cm="1">
        <f t="array" aca="1" ref="BO63" ca="1">_FV(EE63,"Baixo")</f>
        <v>20.61</v>
      </c>
      <c r="BP63" s="20" cm="1">
        <f t="array" aca="1" ref="BP63" ca="1">_FV(EE63,"Alto")</f>
        <v>21.8</v>
      </c>
      <c r="BQ63" s="32"/>
      <c r="BR63" s="74">
        <f ca="1">SQRT(22.5*(BG63/VLOOKUP(BH63,Fundamentus!A:U,3,FALSE))*(BG63/VLOOKUP(BH63,Fundamentus!A:U,4,FALSE)))</f>
        <v>14.489057206668617</v>
      </c>
      <c r="BT63" s="73">
        <f t="shared" ca="1" si="0"/>
        <v>5.7506361323155349E-2</v>
      </c>
      <c r="BU63" s="36">
        <f t="shared" si="1"/>
        <v>-0.43157894736842112</v>
      </c>
      <c r="BV63" s="8"/>
      <c r="BW63" s="72">
        <f t="shared" si="2"/>
        <v>16.18</v>
      </c>
      <c r="BX63" s="72">
        <f t="shared" si="3"/>
        <v>22.186034482758622</v>
      </c>
      <c r="BY63" s="72">
        <f t="shared" si="4"/>
        <v>33.25</v>
      </c>
      <c r="BZ63" s="17"/>
      <c r="CA63" s="17"/>
      <c r="CB63" s="43">
        <f t="shared" si="5"/>
        <v>18.34570813323764</v>
      </c>
      <c r="CC63" s="18">
        <f t="shared" si="6"/>
        <v>19.415895032802382</v>
      </c>
      <c r="CD63" s="43">
        <f t="shared" si="7"/>
        <v>20.486081932367124</v>
      </c>
      <c r="CE63" s="98">
        <f t="shared" ca="1" si="8"/>
        <v>1.2746418104654587</v>
      </c>
      <c r="CF63" s="17"/>
      <c r="CG63" s="20">
        <f t="shared" si="9"/>
        <v>-4.2666666666666657</v>
      </c>
      <c r="CH63" s="20">
        <f t="shared" si="10"/>
        <v>5.956666666666667</v>
      </c>
      <c r="CI63" s="20">
        <f t="shared" si="11"/>
        <v>12.803333333333335</v>
      </c>
      <c r="CJ63" s="49">
        <f t="shared" si="12"/>
        <v>23.026666666666667</v>
      </c>
      <c r="CK63" s="20">
        <f t="shared" si="13"/>
        <v>29.873333333333335</v>
      </c>
      <c r="CL63" s="20">
        <f t="shared" si="14"/>
        <v>40.096666666666664</v>
      </c>
      <c r="CM63" s="20">
        <f t="shared" si="15"/>
        <v>46.943333333333335</v>
      </c>
      <c r="CN63" s="2" cm="1">
        <f t="array" aca="1" ref="CN63" ca="1">MAX(_xlfn._xlws.FILTER(CG63:CM63,CG63:CM63&lt;BG63))</f>
        <v>12.803333333333335</v>
      </c>
      <c r="CO63" s="2" cm="1">
        <f t="array" aca="1" ref="CO63" ca="1">MIN(_xlfn._xlws.FILTER($CG63:$CM63,$CG63:$CM63&gt;BG63))</f>
        <v>23.026666666666667</v>
      </c>
      <c r="CP63" s="19">
        <f t="shared" ca="1" si="82"/>
        <v>0.79848997656860177</v>
      </c>
      <c r="CQ63" s="23">
        <f t="shared" ca="1" si="83"/>
        <v>-0.39924498828430088</v>
      </c>
      <c r="CR63" s="23">
        <f t="shared" ca="1" si="84"/>
        <v>-0.26616332552286726</v>
      </c>
      <c r="CS63" s="23">
        <f t="shared" ca="1" si="85"/>
        <v>-0.15969799531372036</v>
      </c>
      <c r="CT63" s="23">
        <f t="shared" ca="1" si="86"/>
        <v>-8.8721108507622423E-2</v>
      </c>
      <c r="CU63" s="23">
        <f t="shared" ca="1" si="87"/>
        <v>-4.6969998621682454E-2</v>
      </c>
      <c r="CV63" s="23">
        <f t="shared" ca="1" si="88"/>
        <v>-2.4196665956624296E-2</v>
      </c>
      <c r="CW63" s="23">
        <f t="shared" ca="1" si="89"/>
        <v>-1.228446117797849E-2</v>
      </c>
      <c r="CX63" s="24">
        <f t="shared" ca="1" si="90"/>
        <v>1.228446117797849E-2</v>
      </c>
      <c r="CY63" s="24">
        <f t="shared" ca="1" si="91"/>
        <v>2.4196665956624296E-2</v>
      </c>
      <c r="CZ63" s="24">
        <f t="shared" ca="1" si="92"/>
        <v>4.6969998621682454E-2</v>
      </c>
      <c r="DA63" s="24">
        <f t="shared" ca="1" si="93"/>
        <v>8.8721108507622423E-2</v>
      </c>
      <c r="DB63" s="24">
        <f t="shared" ca="1" si="94"/>
        <v>0.15969799531372036</v>
      </c>
      <c r="DC63" s="24">
        <f t="shared" ca="1" si="95"/>
        <v>0.26616332552286726</v>
      </c>
      <c r="DD63" s="24">
        <f t="shared" ca="1" si="96"/>
        <v>0.39924498828430088</v>
      </c>
      <c r="DF63" s="19" cm="1">
        <f t="array" aca="1" ref="DF63" ca="1">MAX(_xlfn._xlws.FILTER(CQ63:DD63,CQ63:DD63&lt;BJ63))</f>
        <v>1.228446117797849E-2</v>
      </c>
      <c r="DG63" s="19" cm="1">
        <f t="array" aca="1" ref="DG63" ca="1">MIN(_xlfn._xlws.FILTER(CQ63:DD63,CQ63:DD63&gt;BJ63))</f>
        <v>2.4196665956624296E-2</v>
      </c>
      <c r="DH63" s="2" cm="1">
        <f t="array" aca="1" ref="DH63" ca="1">_FV(EE63,"Fechamento anterior",TRUE)</f>
        <v>20.47</v>
      </c>
      <c r="DI63" s="36">
        <f t="shared" ca="1" si="22"/>
        <v>0.24006069503926319</v>
      </c>
      <c r="DJ63" s="18">
        <f t="shared" ca="1" si="97"/>
        <v>20.721462920313218</v>
      </c>
      <c r="DK63" s="18">
        <f t="shared" ca="1" si="98"/>
        <v>20.9653057521321</v>
      </c>
      <c r="DL63" s="9"/>
      <c r="DM63" s="9"/>
      <c r="DN63" s="9"/>
      <c r="DO63" s="9"/>
      <c r="DP63" s="79">
        <v>3.3379775610471514E-2</v>
      </c>
      <c r="DQ63" s="79">
        <v>1.618413362931952E-2</v>
      </c>
      <c r="DR63" s="79">
        <v>3.3379775610471514E-2</v>
      </c>
      <c r="DS63" s="79">
        <f t="shared" ca="1" si="25"/>
        <v>1.1912204778645807E-2</v>
      </c>
      <c r="DT63" s="47"/>
      <c r="DU63" s="43">
        <f t="shared" si="26"/>
        <v>0.53509344978237194</v>
      </c>
      <c r="DV63" s="83">
        <f t="shared" ca="1" si="27"/>
        <v>1.7095</v>
      </c>
      <c r="DW63" s="83">
        <f t="shared" ca="1" si="28"/>
        <v>-0.23099999999999987</v>
      </c>
      <c r="DX63" s="83">
        <f t="shared" ca="1" si="29"/>
        <v>1.9404999999999999</v>
      </c>
      <c r="DY63" s="67"/>
      <c r="DZ63" s="67"/>
      <c r="EA63" s="85"/>
      <c r="EB63" s="44">
        <v>4647500</v>
      </c>
      <c r="EC63" s="44" cm="1">
        <f t="array" aca="1" ref="EC63" ca="1">_FV(EE63,"Volume")</f>
        <v>13461900</v>
      </c>
      <c r="EE63" s="2" t="e" vm="63">
        <v>#VALUE!</v>
      </c>
      <c r="EG63" s="10" cm="1">
        <f t="array" aca="1" ref="EG63" ca="1">_FV(EE63,"Ações em circulação",TRUE)</f>
        <v>464180800</v>
      </c>
      <c r="EH63" s="21">
        <f>VLOOKUP(BH63,Fundamentus!A:U,5,FALSE)</f>
        <v>0.93500000000000005</v>
      </c>
      <c r="EI63" s="2">
        <f t="shared" ca="1" si="30"/>
        <v>10316232111.229946</v>
      </c>
      <c r="EJ63" s="20">
        <v>152181799.39251336</v>
      </c>
      <c r="EK63" s="20">
        <f t="shared" ca="1" si="31"/>
        <v>160933220.93518716</v>
      </c>
      <c r="EM63" s="40" t="str">
        <f>IF(VLOOKUP(BH63,Fundamentus!A:U,3,FALSE)&lt;15,"Bom",IF(VLOOKUP(BH63,Fundamentus!A:U,3,FALSE)&gt;15,"Ruim","n/a"))</f>
        <v>Ruim</v>
      </c>
      <c r="EN63" s="36" t="str">
        <f>IF(VLOOKUP(BH63,Fundamentus!A:U,4,FALSE)&lt;1,"Baixo",IF(VLOOKUP(BH63,Fundamentus!A:U,4,FALSE)&lt;1.5,"Moderado",IF(VLOOKUP(BH63,Fundamentus!A:U,4,FALSE)&gt;1.5,"Alto","n/a")))</f>
        <v>Baixo</v>
      </c>
      <c r="EO63" s="20" t="str">
        <f>IF(VLOOKUP(BH63,Fundamentus!A:U,8,FALSE)&lt;0,"Risco elevado",IF(VLOOKUP(BH63,Fundamentus!A:U,8,FALSE)&lt;1,"Saudável",IF(VLOOKUP(BH63,Fundamentus!A:U,8,FALSE)&lt;3,"Estável",IF(VLOOKUP(BH63,Fundamentus!A:U,8,FALSE)&gt;3,"Alerta","n/a"))))</f>
        <v>Alerta</v>
      </c>
      <c r="EP63" s="36" t="str">
        <f t="shared" si="32"/>
        <v>Ruim</v>
      </c>
      <c r="EQ63" s="20" t="str">
        <f>IF(VLOOKUP(BH63,Fundamentus!A:U,12,FALSE)&lt;2,"Subvalorizada",IF(VLOOKUP(BH63,Fundamentus!A:U,12,FALSE)&lt;6,"Muita barata",IF(VLOOKUP(BH63,Fundamentus!A:U,12,FALSE)&lt;6,"Barata",IF(VLOOKUP(BH63,Fundamentus!A:U,12,FALSE)&lt;8,"Atrativa",IF(VLOOKUP(BH63,Fundamentus!A:U,12,FALSE)&gt;8,"Supervalorizada","n/a")))))</f>
        <v>Atrativa</v>
      </c>
      <c r="ES63" s="20" t="str">
        <f>IF(VLOOKUP(BH63,Fundamentus!A:U,17,FALSE)&lt;0.1,"Fraco retorno",IF(VLOOKUP(BH63,Fundamentus!A:U,17,FALSE)&gt;0.1,"Bom retorno","n/a"))</f>
        <v>Fraco retorno</v>
      </c>
      <c r="ET63" s="20" t="str">
        <f>IF(VLOOKUP(BH63,Fundamentus!A:U,16,FALSE)&lt;0.1,"Ineficiente",IF(VLOOKUP(BH63,Fundamentus!A:U,16,FALSE)&gt;0.1,"Eficiente","n/a"))</f>
        <v>Ineficiente</v>
      </c>
      <c r="EU63" s="41" t="str">
        <f>IF(VLOOKUP(BH63,Fundamentus!A:U,16,FALSE)&lt;0.1,"Oper. Ineficiente",IF(VLOOKUP(BH63,Fundamentus!A:U,16,FALSE)&gt;0.1,"Oper.Eficiente","n/a"))</f>
        <v>Oper. Ineficiente</v>
      </c>
      <c r="EV63" s="42">
        <f>VLOOKUP(BH63,Fundamentus!A:U,14,FALSE)</f>
        <v>1.5599999999999999E-2</v>
      </c>
      <c r="EW63" s="20" t="str">
        <f>IF(VLOOKUP(BH63,Fundamentus!A:U,21,FALSE)&lt;0,"Negativo",IF(VLOOKUP(BH63,Fundamentus!A:U,21,FALSE)&lt;0.05,"Fraco",IF(VLOOKUP(BH63,Fundamentus!A:U,21,FALSE)&lt;0.1,"Bom",IF(VLOOKUP(BH63,Fundamentus!A:U,21,FALSE)&gt;0.1,"Muito bom","n/a"))))</f>
        <v>Muito bom</v>
      </c>
      <c r="EY63" s="37" t="str">
        <f>IF(VLOOKUP(BH63,Fundamentus!A:U,15,FALSE)&gt;1,"Bom",IF(VLOOKUP(BH63,Fundamentus!A:U,15,FALSE)&lt;1,"Ruim","n/a"))</f>
        <v>Bom</v>
      </c>
      <c r="EZ63" s="20" t="str">
        <f>IF(VLOOKUP(BH63,Fundamentus!A:U,20,FALSE)&lt;0.5,"Baixa",IF(VLOOKUP(BH63,Fundamentus!A:U,20,FALSE)&lt;1,"Moderada",IF(VLOOKUP(BH63,Fundamentus!A:U,20,FALSE)&lt;2,"Alerta",IF(VLOOKUP(BH63,Fundamentus!A:U,20,FALSE)&gt;2,"Alta","n/a"))))</f>
        <v>Alerta</v>
      </c>
    </row>
    <row r="64" spans="1:156" s="2" customFormat="1" ht="11.25" hidden="1" x14ac:dyDescent="0.2">
      <c r="A64" s="4">
        <v>13.86</v>
      </c>
      <c r="B64" s="4">
        <v>13.14</v>
      </c>
      <c r="C64" s="4">
        <v>13</v>
      </c>
      <c r="D64" s="4">
        <v>12.39</v>
      </c>
      <c r="E64" s="4">
        <v>11.96</v>
      </c>
      <c r="F64" s="4">
        <v>11.06</v>
      </c>
      <c r="G64" s="4">
        <v>10.210000000000001</v>
      </c>
      <c r="H64" s="4">
        <v>10.48</v>
      </c>
      <c r="I64" s="4">
        <v>10.49</v>
      </c>
      <c r="J64" s="4">
        <v>11.3</v>
      </c>
      <c r="K64" s="4">
        <v>11.52</v>
      </c>
      <c r="L64" s="4">
        <v>11.27</v>
      </c>
      <c r="M64" s="4">
        <v>11.3</v>
      </c>
      <c r="N64" s="4">
        <v>11.17</v>
      </c>
      <c r="O64" s="4">
        <v>11.2</v>
      </c>
      <c r="P64" s="4">
        <v>11.55</v>
      </c>
      <c r="Q64" s="4">
        <v>11.35</v>
      </c>
      <c r="R64" s="4">
        <v>11.01</v>
      </c>
      <c r="S64" s="4">
        <v>10.93</v>
      </c>
      <c r="T64" s="4">
        <v>11.23</v>
      </c>
      <c r="U64" s="4">
        <v>11.14</v>
      </c>
      <c r="V64" s="4">
        <v>11.1</v>
      </c>
      <c r="W64" s="4">
        <v>10.99</v>
      </c>
      <c r="X64" s="4">
        <v>10.61</v>
      </c>
      <c r="Y64" s="4">
        <v>10.44</v>
      </c>
      <c r="Z64" s="4">
        <v>10.56</v>
      </c>
      <c r="AA64" s="4">
        <v>10.199999999999999</v>
      </c>
      <c r="AB64" s="4">
        <v>10</v>
      </c>
      <c r="AC64" s="4">
        <v>10.32</v>
      </c>
      <c r="AD64" s="4">
        <v>10.199999999999999</v>
      </c>
      <c r="AE64" s="4">
        <v>9.36</v>
      </c>
      <c r="AF64" s="4">
        <v>9.19</v>
      </c>
      <c r="AG64" s="4">
        <v>8.8699999999999992</v>
      </c>
      <c r="AH64" s="4">
        <v>8.5</v>
      </c>
      <c r="AI64" s="4">
        <v>8.61</v>
      </c>
      <c r="AJ64" s="4">
        <v>8.41</v>
      </c>
      <c r="AK64" s="4">
        <v>8.17</v>
      </c>
      <c r="AL64" s="4">
        <v>8.57</v>
      </c>
      <c r="AM64" s="4">
        <v>8.8000000000000007</v>
      </c>
      <c r="AN64" s="4">
        <v>9.17</v>
      </c>
      <c r="AO64" s="4">
        <v>9.2200000000000006</v>
      </c>
      <c r="AP64" s="4">
        <v>9.48</v>
      </c>
      <c r="AQ64" s="4">
        <v>9.25</v>
      </c>
      <c r="AR64" s="4">
        <v>8.83</v>
      </c>
      <c r="AS64" s="4">
        <v>9.06</v>
      </c>
      <c r="AT64" s="4">
        <v>9.49</v>
      </c>
      <c r="AU64" s="4">
        <v>9.5</v>
      </c>
      <c r="AV64" s="4">
        <v>9.59</v>
      </c>
      <c r="AW64" s="4">
        <v>9.2799999999999994</v>
      </c>
      <c r="AX64" s="4">
        <v>9.1300000000000008</v>
      </c>
      <c r="AY64" s="12">
        <v>9.3699999999999992</v>
      </c>
      <c r="AZ64" s="12">
        <v>9.93</v>
      </c>
      <c r="BA64" s="12">
        <v>10.16</v>
      </c>
      <c r="BB64" s="18">
        <v>10.49</v>
      </c>
      <c r="BC64" s="63">
        <v>10.6</v>
      </c>
      <c r="BD64" s="63">
        <v>10.49</v>
      </c>
      <c r="BE64" s="63">
        <v>10.66</v>
      </c>
      <c r="BF64" s="63">
        <v>10.64</v>
      </c>
      <c r="BG64" s="91" cm="1">
        <f t="array" aca="1" ref="BG64" ca="1">_FV(EE64,"Preço")</f>
        <v>10.66</v>
      </c>
      <c r="BH64" s="93" t="s">
        <v>159</v>
      </c>
      <c r="BI64" s="32" cm="1">
        <f t="array" aca="1" ref="BI64" ca="1">_FV(EE64,"Beta")</f>
        <v>1.6788000000000001</v>
      </c>
      <c r="BJ64" s="96" cm="1">
        <f t="array" aca="1" ref="BJ64" ca="1">_FV(EE64,"Variação (%)",TRUE)</f>
        <v>-7.4489999999999999E-3</v>
      </c>
      <c r="BK64" s="49"/>
      <c r="BL64" s="49"/>
      <c r="BN64" s="32"/>
      <c r="BO64" s="20" cm="1">
        <f t="array" aca="1" ref="BO64" ca="1">_FV(EE64,"Baixo")</f>
        <v>10.57</v>
      </c>
      <c r="BP64" s="20" cm="1">
        <f t="array" aca="1" ref="BP64" ca="1">_FV(EE64,"Alto")</f>
        <v>10.79</v>
      </c>
      <c r="BQ64" s="32"/>
      <c r="BR64" s="74">
        <f ca="1">SQRT(22.5*(BG64/VLOOKUP(BH64,Fundamentus!A:U,3,FALSE))*(BG64/VLOOKUP(BH64,Fundamentus!A:U,4,FALSE)))</f>
        <v>13.173283132907898</v>
      </c>
      <c r="BT64" s="73">
        <f t="shared" ca="1" si="0"/>
        <v>1.8796992481202605E-3</v>
      </c>
      <c r="BU64" s="36">
        <f t="shared" si="1"/>
        <v>-0.23088023088023085</v>
      </c>
      <c r="BV64" s="8"/>
      <c r="BW64" s="72">
        <f t="shared" si="2"/>
        <v>8.17</v>
      </c>
      <c r="BX64" s="72">
        <f t="shared" si="3"/>
        <v>10.324137931034482</v>
      </c>
      <c r="BY64" s="72">
        <f t="shared" si="4"/>
        <v>13.86</v>
      </c>
      <c r="BZ64" s="17"/>
      <c r="CA64" s="17"/>
      <c r="CB64" s="43">
        <f t="shared" si="5"/>
        <v>10.533439082757463</v>
      </c>
      <c r="CC64" s="18">
        <f t="shared" si="6"/>
        <v>10.664873477038412</v>
      </c>
      <c r="CD64" s="43">
        <f t="shared" si="7"/>
        <v>10.796307871319362</v>
      </c>
      <c r="CE64" s="98">
        <f t="shared" ca="1" si="8"/>
        <v>-3.7079160786444174E-2</v>
      </c>
      <c r="CF64" s="17"/>
      <c r="CG64" s="20">
        <f t="shared" si="9"/>
        <v>2.2300000000000022</v>
      </c>
      <c r="CH64" s="20">
        <f t="shared" si="10"/>
        <v>5.2000000000000011</v>
      </c>
      <c r="CI64" s="20">
        <f t="shared" si="11"/>
        <v>7.9200000000000017</v>
      </c>
      <c r="CJ64" s="49">
        <f t="shared" si="12"/>
        <v>10.89</v>
      </c>
      <c r="CK64" s="20">
        <f t="shared" si="13"/>
        <v>13.610000000000001</v>
      </c>
      <c r="CL64" s="20">
        <f t="shared" si="14"/>
        <v>16.579999999999998</v>
      </c>
      <c r="CM64" s="20">
        <f t="shared" si="15"/>
        <v>19.3</v>
      </c>
      <c r="CN64" s="2" cm="1">
        <f t="array" aca="1" ref="CN64" ca="1">MAX(_xlfn._xlws.FILTER(CG64:CM64,CG64:CM64&lt;BG64))</f>
        <v>7.9200000000000017</v>
      </c>
      <c r="CO64" s="2" cm="1">
        <f t="array" aca="1" ref="CO64" ca="1">MIN(_xlfn._xlws.FILTER($CG64:$CM64,$CG64:$CM64&gt;BG64))</f>
        <v>10.89</v>
      </c>
      <c r="CP64" s="19">
        <f t="shared" ca="1" si="82"/>
        <v>0.37499999999999978</v>
      </c>
      <c r="CQ64" s="23">
        <f t="shared" ca="1" si="83"/>
        <v>-0.18749999999999989</v>
      </c>
      <c r="CR64" s="23">
        <f t="shared" ca="1" si="84"/>
        <v>-0.12499999999999993</v>
      </c>
      <c r="CS64" s="23">
        <f t="shared" ca="1" si="85"/>
        <v>-7.4999999999999956E-2</v>
      </c>
      <c r="CT64" s="23">
        <f t="shared" ca="1" si="86"/>
        <v>-4.1666666666666644E-2</v>
      </c>
      <c r="CU64" s="23">
        <f t="shared" ca="1" si="87"/>
        <v>-2.2058823529411752E-2</v>
      </c>
      <c r="CV64" s="23">
        <f t="shared" ca="1" si="88"/>
        <v>-1.1363636363636357E-2</v>
      </c>
      <c r="CW64" s="23">
        <f t="shared" ca="1" si="89"/>
        <v>-5.7692307692307661E-3</v>
      </c>
      <c r="CX64" s="24">
        <f t="shared" ca="1" si="90"/>
        <v>5.7692307692307661E-3</v>
      </c>
      <c r="CY64" s="24">
        <f t="shared" ca="1" si="91"/>
        <v>1.1363636363636357E-2</v>
      </c>
      <c r="CZ64" s="24">
        <f t="shared" ca="1" si="92"/>
        <v>2.2058823529411752E-2</v>
      </c>
      <c r="DA64" s="24">
        <f t="shared" ca="1" si="93"/>
        <v>4.1666666666666644E-2</v>
      </c>
      <c r="DB64" s="24">
        <f t="shared" ca="1" si="94"/>
        <v>7.4999999999999956E-2</v>
      </c>
      <c r="DC64" s="24">
        <f t="shared" ca="1" si="95"/>
        <v>0.12499999999999993</v>
      </c>
      <c r="DD64" s="24">
        <f t="shared" ca="1" si="96"/>
        <v>0.18749999999999989</v>
      </c>
      <c r="DF64" s="19" cm="1">
        <f t="array" aca="1" ref="DF64" ca="1">MAX(_xlfn._xlws.FILTER(CQ64:DD64,CQ64:DD64&lt;BJ64))</f>
        <v>-1.1363636363636357E-2</v>
      </c>
      <c r="DG64" s="19" cm="1">
        <f t="array" aca="1" ref="DG64" ca="1">MIN(_xlfn._xlws.FILTER(CQ64:DD64,CQ64:DD64&gt;BJ64))</f>
        <v>-5.7692307692307661E-3</v>
      </c>
      <c r="DH64" s="2" cm="1">
        <f t="array" aca="1" ref="DH64" ca="1">_FV(EE64,"Fechamento anterior",TRUE)</f>
        <v>10.74</v>
      </c>
      <c r="DI64" s="36">
        <f t="shared" ca="1" si="22"/>
        <v>0.69977886405958667</v>
      </c>
      <c r="DJ64" s="18">
        <f t="shared" ca="1" si="97"/>
        <v>10.617954545454547</v>
      </c>
      <c r="DK64" s="18">
        <f t="shared" ca="1" si="98"/>
        <v>10.678038461538462</v>
      </c>
      <c r="DL64" s="9"/>
      <c r="DM64" s="9"/>
      <c r="DN64" s="9"/>
      <c r="DO64" s="9"/>
      <c r="DP64" s="79">
        <v>2.8107874465490364E-3</v>
      </c>
      <c r="DQ64" s="79">
        <v>5.7972491085073888E-3</v>
      </c>
      <c r="DR64" s="79">
        <v>2.8107874465490364E-3</v>
      </c>
      <c r="DS64" s="79">
        <f t="shared" ca="1" si="25"/>
        <v>5.5944055944055909E-3</v>
      </c>
      <c r="DT64" s="47"/>
      <c r="DU64" s="43">
        <f t="shared" si="26"/>
        <v>6.5717197140474609E-2</v>
      </c>
      <c r="DV64" s="83">
        <f t="shared" ca="1" si="27"/>
        <v>2.1049000000000002</v>
      </c>
      <c r="DW64" s="83">
        <f t="shared" ca="1" si="28"/>
        <v>2.4237000000000002</v>
      </c>
      <c r="DX64" s="83">
        <f t="shared" ca="1" si="29"/>
        <v>-0.31879999999999997</v>
      </c>
      <c r="DY64" s="67"/>
      <c r="DZ64" s="67"/>
      <c r="EA64" s="85"/>
      <c r="EB64" s="44">
        <v>474100</v>
      </c>
      <c r="EC64" s="44" cm="1">
        <f t="array" aca="1" ref="EC64" ca="1">_FV(EE64,"Volume")</f>
        <v>304400</v>
      </c>
      <c r="EE64" s="2" t="e" vm="64">
        <v>#VALUE!</v>
      </c>
      <c r="EG64" s="10" cm="1">
        <f t="array" aca="1" ref="EG64" ca="1">_FV(EE64,"Ações em circulação",TRUE)</f>
        <v>234178200</v>
      </c>
      <c r="EH64" s="21">
        <f>VLOOKUP(BH64,Fundamentus!A:U,5,FALSE)</f>
        <v>1.53</v>
      </c>
      <c r="EI64" s="2">
        <f t="shared" ca="1" si="30"/>
        <v>1631594517.6470587</v>
      </c>
      <c r="EJ64" s="20">
        <v>284341925.47764707</v>
      </c>
      <c r="EK64" s="20">
        <f t="shared" ca="1" si="31"/>
        <v>284876402.78117645</v>
      </c>
      <c r="EM64" s="40" t="str">
        <f>IF(VLOOKUP(BH64,Fundamentus!A:U,3,FALSE)&lt;15,"Bom",IF(VLOOKUP(BH64,Fundamentus!A:U,3,FALSE)&gt;15,"Ruim","n/a"))</f>
        <v>Bom</v>
      </c>
      <c r="EN64" s="36" t="str">
        <f>IF(VLOOKUP(BH64,Fundamentus!A:U,4,FALSE)&lt;1,"Baixo",IF(VLOOKUP(BH64,Fundamentus!A:U,4,FALSE)&lt;1.5,"Moderado",IF(VLOOKUP(BH64,Fundamentus!A:U,4,FALSE)&gt;1.5,"Alto","n/a")))</f>
        <v>Alto</v>
      </c>
      <c r="EO64" s="20" t="str">
        <f>IF(VLOOKUP(BH64,Fundamentus!A:U,8,FALSE)&lt;0,"Risco elevado",IF(VLOOKUP(BH64,Fundamentus!A:U,8,FALSE)&lt;1,"Saudável",IF(VLOOKUP(BH64,Fundamentus!A:U,8,FALSE)&lt;3,"Estável",IF(VLOOKUP(BH64,Fundamentus!A:U,8,FALSE)&gt;3,"Alerta","n/a"))))</f>
        <v>Alerta</v>
      </c>
      <c r="EP64" s="36" t="str">
        <f t="shared" si="32"/>
        <v>Bom</v>
      </c>
      <c r="EQ64" s="20" t="str">
        <f>IF(VLOOKUP(BH64,Fundamentus!A:U,12,FALSE)&lt;2,"Subvalorizada",IF(VLOOKUP(BH64,Fundamentus!A:U,12,FALSE)&lt;6,"Muita barata",IF(VLOOKUP(BH64,Fundamentus!A:U,12,FALSE)&lt;6,"Barata",IF(VLOOKUP(BH64,Fundamentus!A:U,12,FALSE)&lt;8,"Atrativa",IF(VLOOKUP(BH64,Fundamentus!A:U,12,FALSE)&gt;8,"Supervalorizada","n/a")))))</f>
        <v>Muita barata</v>
      </c>
      <c r="ES64" s="20" t="str">
        <f>IF(VLOOKUP(BH64,Fundamentus!A:U,17,FALSE)&lt;0.1,"Fraco retorno",IF(VLOOKUP(BH64,Fundamentus!A:U,17,FALSE)&gt;0.1,"Bom retorno","n/a"))</f>
        <v>Bom retorno</v>
      </c>
      <c r="ET64" s="20" t="str">
        <f>IF(VLOOKUP(BH64,Fundamentus!A:U,16,FALSE)&lt;0.1,"Ineficiente",IF(VLOOKUP(BH64,Fundamentus!A:U,16,FALSE)&gt;0.1,"Eficiente","n/a"))</f>
        <v>Eficiente</v>
      </c>
      <c r="EU64" s="41" t="str">
        <f>IF(VLOOKUP(BH64,Fundamentus!A:U,16,FALSE)&lt;0.1,"Oper. Ineficiente",IF(VLOOKUP(BH64,Fundamentus!A:U,16,FALSE)&gt;0.1,"Oper.Eficiente","n/a"))</f>
        <v>Oper.Eficiente</v>
      </c>
      <c r="EV64" s="42">
        <f>VLOOKUP(BH64,Fundamentus!A:U,14,FALSE)</f>
        <v>0.17460000000000001</v>
      </c>
      <c r="EW64" s="20" t="str">
        <f>IF(VLOOKUP(BH64,Fundamentus!A:U,21,FALSE)&lt;0,"Negativo",IF(VLOOKUP(BH64,Fundamentus!A:U,21,FALSE)&lt;0.05,"Fraco",IF(VLOOKUP(BH64,Fundamentus!A:U,21,FALSE)&lt;0.1,"Bom",IF(VLOOKUP(BH64,Fundamentus!A:U,21,FALSE)&gt;0.1,"Muito bom","n/a"))))</f>
        <v>Muito bom</v>
      </c>
      <c r="EY64" s="37" t="str">
        <f>IF(VLOOKUP(BH64,Fundamentus!A:U,15,FALSE)&gt;1,"Bom",IF(VLOOKUP(BH64,Fundamentus!A:U,15,FALSE)&lt;1,"Ruim","n/a"))</f>
        <v>Bom</v>
      </c>
      <c r="EZ64" s="20" t="str">
        <f>IF(VLOOKUP(BH64,Fundamentus!A:U,20,FALSE)&lt;0.5,"Baixa",IF(VLOOKUP(BH64,Fundamentus!A:U,20,FALSE)&lt;1,"Moderada",IF(VLOOKUP(BH64,Fundamentus!A:U,20,FALSE)&lt;2,"Alerta",IF(VLOOKUP(BH64,Fundamentus!A:U,20,FALSE)&gt;2,"Alta","n/a"))))</f>
        <v>Alerta</v>
      </c>
    </row>
    <row r="65" spans="1:157" s="2" customFormat="1" ht="11.25" x14ac:dyDescent="0.2">
      <c r="A65" s="4">
        <v>14.03</v>
      </c>
      <c r="B65" s="4">
        <v>13.16</v>
      </c>
      <c r="C65" s="4">
        <v>12.63</v>
      </c>
      <c r="D65" s="4">
        <v>12.1</v>
      </c>
      <c r="E65" s="4">
        <v>11.56</v>
      </c>
      <c r="F65" s="4">
        <v>11.95</v>
      </c>
      <c r="G65" s="4">
        <v>11.79</v>
      </c>
      <c r="H65" s="4">
        <v>13.06</v>
      </c>
      <c r="I65" s="4">
        <v>13.65</v>
      </c>
      <c r="J65" s="4">
        <v>14.43</v>
      </c>
      <c r="K65" s="4">
        <v>14.88</v>
      </c>
      <c r="L65" s="4">
        <v>14.16</v>
      </c>
      <c r="M65" s="4">
        <v>13.81</v>
      </c>
      <c r="N65" s="4">
        <v>13.43</v>
      </c>
      <c r="O65" s="4">
        <v>14.45</v>
      </c>
      <c r="P65" s="4">
        <v>14.13</v>
      </c>
      <c r="Q65" s="4">
        <v>13.12</v>
      </c>
      <c r="R65" s="4">
        <v>13</v>
      </c>
      <c r="S65" s="4">
        <v>13.68</v>
      </c>
      <c r="T65" s="4">
        <v>13.19</v>
      </c>
      <c r="U65" s="4">
        <v>12.71</v>
      </c>
      <c r="V65" s="4">
        <v>14.86</v>
      </c>
      <c r="W65" s="4">
        <v>14.69</v>
      </c>
      <c r="X65" s="4">
        <v>14.73</v>
      </c>
      <c r="Y65" s="4">
        <v>12.89</v>
      </c>
      <c r="Z65" s="4">
        <v>12.82</v>
      </c>
      <c r="AA65" s="4">
        <v>12.68</v>
      </c>
      <c r="AB65" s="4">
        <v>12.66</v>
      </c>
      <c r="AC65" s="4">
        <v>12.84</v>
      </c>
      <c r="AD65" s="4">
        <v>12.9</v>
      </c>
      <c r="AE65" s="4">
        <v>12.82</v>
      </c>
      <c r="AF65" s="4">
        <v>12.91</v>
      </c>
      <c r="AG65" s="4">
        <v>13</v>
      </c>
      <c r="AH65" s="4">
        <v>12.98</v>
      </c>
      <c r="AI65" s="4">
        <v>13.12</v>
      </c>
      <c r="AJ65" s="4">
        <v>13.18</v>
      </c>
      <c r="AK65" s="4">
        <v>13.14</v>
      </c>
      <c r="AL65" s="4">
        <v>13.14</v>
      </c>
      <c r="AM65" s="4">
        <v>13.15</v>
      </c>
      <c r="AN65" s="4">
        <v>13.18</v>
      </c>
      <c r="AO65" s="4">
        <v>13.18</v>
      </c>
      <c r="AP65" s="4">
        <v>13.2</v>
      </c>
      <c r="AQ65" s="4">
        <v>13.15</v>
      </c>
      <c r="AR65" s="4">
        <v>13.36</v>
      </c>
      <c r="AS65" s="4">
        <v>13.12</v>
      </c>
      <c r="AT65" s="4">
        <v>13.34</v>
      </c>
      <c r="AU65" s="4">
        <v>13.39</v>
      </c>
      <c r="AV65" s="4">
        <v>13.26</v>
      </c>
      <c r="AW65" s="4">
        <v>13.3</v>
      </c>
      <c r="AX65" s="4">
        <v>13.33</v>
      </c>
      <c r="AY65" s="12">
        <v>13.43</v>
      </c>
      <c r="AZ65" s="12">
        <v>13.52</v>
      </c>
      <c r="BA65" s="12">
        <v>13.54</v>
      </c>
      <c r="BB65" s="18">
        <v>13.53</v>
      </c>
      <c r="BC65" s="63">
        <v>13.55</v>
      </c>
      <c r="BD65" s="63">
        <v>13.62</v>
      </c>
      <c r="BE65" s="63">
        <v>13.68</v>
      </c>
      <c r="BF65" s="63">
        <v>13.69</v>
      </c>
      <c r="BG65" s="91" cm="1">
        <f t="array" aca="1" ref="BG65" ca="1">_FV(EE65,"Preço")</f>
        <v>13.71</v>
      </c>
      <c r="BH65" s="90" t="s">
        <v>63</v>
      </c>
      <c r="BI65" s="32" cm="1">
        <f t="array" aca="1" ref="BI65" ca="1">_FV(EE65,"Beta")</f>
        <v>1.2463</v>
      </c>
      <c r="BJ65" s="96" cm="1">
        <f t="array" aca="1" ref="BJ65" ca="1">_FV(EE65,"Variação (%)",TRUE)</f>
        <v>7.2990000000000001E-4</v>
      </c>
      <c r="BK65" s="18">
        <v>13.7</v>
      </c>
      <c r="BL65" s="18">
        <v>1000</v>
      </c>
      <c r="BN65" s="32"/>
      <c r="BO65" s="20" cm="1">
        <f t="array" aca="1" ref="BO65" ca="1">_FV(EE65,"Baixo")</f>
        <v>13.69</v>
      </c>
      <c r="BP65" s="20" cm="1">
        <f t="array" aca="1" ref="BP65" ca="1">_FV(EE65,"Alto")</f>
        <v>13.72</v>
      </c>
      <c r="BQ65" s="32"/>
      <c r="BR65" s="74">
        <f ca="1">SQRT(22.5*(BG65/VLOOKUP(BH65,Fundamentus!A:U,3,FALSE))*(BG65/VLOOKUP(BH65,Fundamentus!A:U,4,FALSE)))</f>
        <v>3.8065740478970751</v>
      </c>
      <c r="BT65" s="73">
        <f t="shared" ca="1" si="0"/>
        <v>1.4609203798393974E-3</v>
      </c>
      <c r="BU65" s="36">
        <f t="shared" si="1"/>
        <v>-2.4946543121881659E-2</v>
      </c>
      <c r="BV65" s="8"/>
      <c r="BW65" s="72">
        <f t="shared" si="2"/>
        <v>11.56</v>
      </c>
      <c r="BX65" s="72">
        <f t="shared" si="3"/>
        <v>13.306896551724135</v>
      </c>
      <c r="BY65" s="72">
        <f t="shared" si="4"/>
        <v>14.88</v>
      </c>
      <c r="BZ65" s="17"/>
      <c r="CA65" s="17"/>
      <c r="CB65" s="46">
        <f t="shared" si="5"/>
        <v>13.640642711715438</v>
      </c>
      <c r="CC65" s="18">
        <f t="shared" si="6"/>
        <v>13.752446110590427</v>
      </c>
      <c r="CD65" s="46">
        <f t="shared" si="7"/>
        <v>13.864249509465415</v>
      </c>
      <c r="CE65" s="75">
        <f t="shared" ca="1" si="8"/>
        <v>-0.37964955464266653</v>
      </c>
      <c r="CF65" s="17"/>
      <c r="CG65" s="20">
        <f t="shared" si="9"/>
        <v>8.5533333333333328</v>
      </c>
      <c r="CH65" s="20">
        <f t="shared" si="10"/>
        <v>10.056666666666667</v>
      </c>
      <c r="CI65" s="20">
        <f t="shared" si="11"/>
        <v>11.873333333333333</v>
      </c>
      <c r="CJ65" s="49">
        <f t="shared" si="12"/>
        <v>13.376666666666667</v>
      </c>
      <c r="CK65" s="20">
        <f t="shared" si="13"/>
        <v>15.193333333333333</v>
      </c>
      <c r="CL65" s="20">
        <f t="shared" si="14"/>
        <v>16.696666666666665</v>
      </c>
      <c r="CM65" s="20">
        <f t="shared" si="15"/>
        <v>18.513333333333335</v>
      </c>
      <c r="CN65" s="2" cm="1">
        <f t="array" aca="1" ref="CN65" ca="1">MAX(_xlfn._xlws.FILTER(CG65:CM65,CG65:CM65&lt;BG65))</f>
        <v>13.376666666666667</v>
      </c>
      <c r="CO65" s="2" cm="1">
        <f t="array" aca="1" ref="CO65" ca="1">MIN(_xlfn._xlws.FILTER($CG65:$CM65,$CG65:$CM65&gt;BG65))</f>
        <v>15.193333333333333</v>
      </c>
      <c r="CP65" s="19">
        <f t="shared" ca="1" si="82"/>
        <v>0.13580862197856969</v>
      </c>
      <c r="CQ65" s="23">
        <f t="shared" ca="1" si="83"/>
        <v>-6.7904310989284844E-2</v>
      </c>
      <c r="CR65" s="23">
        <f t="shared" ca="1" si="84"/>
        <v>-4.5269540659523232E-2</v>
      </c>
      <c r="CS65" s="23">
        <f t="shared" ca="1" si="85"/>
        <v>-2.7161724395713939E-2</v>
      </c>
      <c r="CT65" s="23">
        <f t="shared" ca="1" si="86"/>
        <v>-1.5089846886507743E-2</v>
      </c>
      <c r="CU65" s="23">
        <f t="shared" ca="1" si="87"/>
        <v>-7.9887424693276289E-3</v>
      </c>
      <c r="CV65" s="23">
        <f t="shared" ca="1" si="88"/>
        <v>-4.1154127872293847E-3</v>
      </c>
      <c r="CW65" s="23">
        <f t="shared" ca="1" si="89"/>
        <v>-2.0893634150549183E-3</v>
      </c>
      <c r="CX65" s="24">
        <f t="shared" ca="1" si="90"/>
        <v>2.0893634150549183E-3</v>
      </c>
      <c r="CY65" s="24">
        <f t="shared" ca="1" si="91"/>
        <v>4.1154127872293847E-3</v>
      </c>
      <c r="CZ65" s="24">
        <f t="shared" ca="1" si="92"/>
        <v>7.9887424693276289E-3</v>
      </c>
      <c r="DA65" s="24">
        <f t="shared" ca="1" si="93"/>
        <v>1.5089846886507743E-2</v>
      </c>
      <c r="DB65" s="24">
        <f t="shared" ca="1" si="94"/>
        <v>2.7161724395713939E-2</v>
      </c>
      <c r="DC65" s="24">
        <f t="shared" ca="1" si="95"/>
        <v>4.5269540659523232E-2</v>
      </c>
      <c r="DD65" s="24">
        <f t="shared" ca="1" si="96"/>
        <v>6.7904310989284844E-2</v>
      </c>
      <c r="DF65" s="19" cm="1">
        <f t="array" aca="1" ref="DF65" ca="1">MAX(_xlfn._xlws.FILTER(CQ65:DD65,CQ65:DD65&lt;BJ65))</f>
        <v>-2.0893634150549183E-3</v>
      </c>
      <c r="DG65" s="19" cm="1">
        <f t="array" aca="1" ref="DG65" ca="1">MIN(_xlfn._xlws.FILTER(CQ65:DD65,CQ65:DD65&gt;BJ65))</f>
        <v>2.0893634150549183E-3</v>
      </c>
      <c r="DH65" s="2" cm="1">
        <f t="array" aca="1" ref="DH65" ca="1">_FV(EE65,"Fechamento anterior",TRUE)</f>
        <v>13.7</v>
      </c>
      <c r="DI65" s="36">
        <f t="shared" ca="1" si="22"/>
        <v>0.67467689010918608</v>
      </c>
      <c r="DJ65" s="18">
        <f t="shared" ca="1" si="97"/>
        <v>13.671375721213748</v>
      </c>
      <c r="DK65" s="18">
        <f t="shared" ca="1" si="98"/>
        <v>13.728624278786251</v>
      </c>
      <c r="DL65" s="9"/>
      <c r="DM65" s="9"/>
      <c r="DN65" s="9"/>
      <c r="DO65" s="9"/>
      <c r="DP65" s="79">
        <v>4.4021212294006922E-3</v>
      </c>
      <c r="DQ65" s="79">
        <v>4.4021212294006922E-3</v>
      </c>
      <c r="DR65" s="79">
        <v>4.4021212294006922E-3</v>
      </c>
      <c r="DS65" s="79">
        <f t="shared" ca="1" si="25"/>
        <v>4.1787268301098366E-3</v>
      </c>
      <c r="DT65" s="47"/>
      <c r="DU65" s="43">
        <f t="shared" si="26"/>
        <v>5.5901699437494345E-2</v>
      </c>
      <c r="DV65" s="83">
        <f t="shared" ca="1" si="27"/>
        <v>1.6723999999999999</v>
      </c>
      <c r="DW65" s="83">
        <f t="shared" ca="1" si="28"/>
        <v>1.1733099999999999</v>
      </c>
      <c r="DX65" s="97">
        <f t="shared" ca="1" si="29"/>
        <v>0.49909000000000003</v>
      </c>
      <c r="DY65" s="67"/>
      <c r="DZ65" s="67"/>
      <c r="EA65" s="44" cm="1">
        <f t="array" aca="1" ref="EA65" ca="1">_FV(EE65,"Média de volume",TRUE)</f>
        <v>3606130</v>
      </c>
      <c r="EB65" s="44">
        <v>2285500</v>
      </c>
      <c r="EC65" s="44" cm="1">
        <f t="array" aca="1" ref="EC65" ca="1">_FV(EE65,"Volume")</f>
        <v>1859500</v>
      </c>
      <c r="EE65" s="2" t="e" vm="65">
        <v>#VALUE!</v>
      </c>
      <c r="EG65" s="10" cm="1">
        <f t="array" aca="1" ref="EG65" ca="1">_FV(EE65,"Ações em circulação",TRUE)</f>
        <v>864170300</v>
      </c>
      <c r="EH65" s="21">
        <f>VLOOKUP(BH65,Fundamentus!A:U,5,FALSE)</f>
        <v>3.774</v>
      </c>
      <c r="EI65" s="2">
        <f t="shared" ca="1" si="30"/>
        <v>3139315000.7949123</v>
      </c>
      <c r="EJ65" s="20">
        <v>790893741.91470599</v>
      </c>
      <c r="EK65" s="20">
        <f t="shared" ca="1" si="31"/>
        <v>792049174.70055652</v>
      </c>
      <c r="EM65" s="40" t="str">
        <f>IF(VLOOKUP(BH65,Fundamentus!A:U,3,FALSE)&lt;15,"Bom",IF(VLOOKUP(BH65,Fundamentus!A:U,3,FALSE)&gt;15,"Ruim","n/a"))</f>
        <v>Bom</v>
      </c>
      <c r="EN65" s="36" t="str">
        <f>IF(VLOOKUP(BH65,Fundamentus!A:U,4,FALSE)&lt;1,"Baixo",IF(VLOOKUP(BH65,Fundamentus!A:U,4,FALSE)&lt;1.5,"Moderado",IF(VLOOKUP(BH65,Fundamentus!A:U,4,FALSE)&gt;1.5,"Alto","n/a")))</f>
        <v>Alto</v>
      </c>
      <c r="EO65" s="20" t="str">
        <f>IF(VLOOKUP(BH65,Fundamentus!A:U,8,FALSE)&lt;0,"Risco elevado",IF(VLOOKUP(BH65,Fundamentus!A:U,8,FALSE)&lt;1,"Saudável",IF(VLOOKUP(BH65,Fundamentus!A:U,8,FALSE)&lt;3,"Estável",IF(VLOOKUP(BH65,Fundamentus!A:U,8,FALSE)&gt;3,"Alerta","n/a"))))</f>
        <v>Alerta</v>
      </c>
      <c r="EP65" s="36" t="str">
        <f t="shared" si="32"/>
        <v>Bom</v>
      </c>
      <c r="EQ65" s="20" t="str">
        <f>IF(VLOOKUP(BH65,Fundamentus!A:U,12,FALSE)&lt;2,"Subvalorizada",IF(VLOOKUP(BH65,Fundamentus!A:U,12,FALSE)&lt;6,"Muita barata",IF(VLOOKUP(BH65,Fundamentus!A:U,12,FALSE)&lt;6,"Barata",IF(VLOOKUP(BH65,Fundamentus!A:U,12,FALSE)&lt;8,"Atrativa",IF(VLOOKUP(BH65,Fundamentus!A:U,12,FALSE)&gt;8,"Supervalorizada","n/a")))))</f>
        <v>Supervalorizada</v>
      </c>
      <c r="ES65" s="20" t="str">
        <f>IF(VLOOKUP(BH65,Fundamentus!A:U,17,FALSE)&lt;0.1,"Fraco retorno",IF(VLOOKUP(BH65,Fundamentus!A:U,17,FALSE)&gt;0.1,"Bom retorno","n/a"))</f>
        <v>Bom retorno</v>
      </c>
      <c r="ET65" s="20" t="str">
        <f>IF(VLOOKUP(BH65,Fundamentus!A:U,16,FALSE)&lt;0.1,"Ineficiente",IF(VLOOKUP(BH65,Fundamentus!A:U,16,FALSE)&gt;0.1,"Eficiente","n/a"))</f>
        <v>Eficiente</v>
      </c>
      <c r="EU65" s="41" t="str">
        <f>IF(VLOOKUP(BH65,Fundamentus!A:U,16,FALSE)&lt;0.1,"Oper. Ineficiente",IF(VLOOKUP(BH65,Fundamentus!A:U,16,FALSE)&gt;0.1,"Oper.Eficiente","n/a"))</f>
        <v>Oper.Eficiente</v>
      </c>
      <c r="EV65" s="42">
        <f>VLOOKUP(BH65,Fundamentus!A:U,14,FALSE)</f>
        <v>0.25230000000000002</v>
      </c>
      <c r="EW65" s="20" t="str">
        <f>IF(VLOOKUP(BH65,Fundamentus!A:U,21,FALSE)&lt;0,"Negativo",IF(VLOOKUP(BH65,Fundamentus!A:U,21,FALSE)&lt;0.05,"Fraco",IF(VLOOKUP(BH65,Fundamentus!A:U,21,FALSE)&lt;0.1,"Bom",IF(VLOOKUP(BH65,Fundamentus!A:U,21,FALSE)&gt;0.1,"Muito bom","n/a"))))</f>
        <v>Muito bom</v>
      </c>
      <c r="EY65" s="37" t="str">
        <f>IF(VLOOKUP(BH65,Fundamentus!A:U,15,FALSE)&gt;1,"Bom",IF(VLOOKUP(BH65,Fundamentus!A:U,15,FALSE)&lt;1,"Ruim","n/a"))</f>
        <v>Bom</v>
      </c>
      <c r="EZ65" s="20" t="str">
        <f>IF(VLOOKUP(BH65,Fundamentus!A:U,20,FALSE)&lt;0.5,"Baixa",IF(VLOOKUP(BH65,Fundamentus!A:U,20,FALSE)&lt;1,"Moderada",IF(VLOOKUP(BH65,Fundamentus!A:U,20,FALSE)&lt;2,"Alerta",IF(VLOOKUP(BH65,Fundamentus!A:U,20,FALSE)&gt;2,"Alta","n/a"))))</f>
        <v>Alta</v>
      </c>
    </row>
    <row r="66" spans="1:157" s="2" customFormat="1" ht="11.25" hidden="1" x14ac:dyDescent="0.2">
      <c r="A66" s="4">
        <v>24.09</v>
      </c>
      <c r="B66" s="4">
        <v>23.59</v>
      </c>
      <c r="C66" s="4">
        <v>23.69</v>
      </c>
      <c r="D66" s="4">
        <v>22.45</v>
      </c>
      <c r="E66" s="4">
        <v>21.63</v>
      </c>
      <c r="F66" s="4">
        <v>20.8</v>
      </c>
      <c r="G66" s="4">
        <v>20.72</v>
      </c>
      <c r="H66" s="4">
        <v>20.93</v>
      </c>
      <c r="I66" s="4">
        <v>20.9</v>
      </c>
      <c r="J66" s="4">
        <v>22.11</v>
      </c>
      <c r="K66" s="4">
        <v>22.75</v>
      </c>
      <c r="L66" s="4">
        <v>23.09</v>
      </c>
      <c r="M66" s="4">
        <v>23.24</v>
      </c>
      <c r="N66" s="4">
        <v>23.31</v>
      </c>
      <c r="O66" s="4">
        <v>24.75</v>
      </c>
      <c r="P66" s="4">
        <v>26.03</v>
      </c>
      <c r="Q66" s="4">
        <v>25.45</v>
      </c>
      <c r="R66" s="4">
        <v>25.72</v>
      </c>
      <c r="S66" s="4">
        <v>25.91</v>
      </c>
      <c r="T66" s="4">
        <v>25.28</v>
      </c>
      <c r="U66" s="4">
        <v>24.78</v>
      </c>
      <c r="V66" s="4">
        <v>23.62</v>
      </c>
      <c r="W66" s="4">
        <v>23.09</v>
      </c>
      <c r="X66" s="4">
        <v>22.87</v>
      </c>
      <c r="Y66" s="4">
        <v>22.15</v>
      </c>
      <c r="Z66" s="4">
        <v>21.91</v>
      </c>
      <c r="AA66" s="4">
        <v>22.12</v>
      </c>
      <c r="AB66" s="4">
        <v>22.45</v>
      </c>
      <c r="AC66" s="4">
        <v>22.21</v>
      </c>
      <c r="AD66" s="4">
        <v>21.83</v>
      </c>
      <c r="AE66" s="4">
        <v>20.63</v>
      </c>
      <c r="AF66" s="4">
        <v>20.190000000000001</v>
      </c>
      <c r="AG66" s="4">
        <v>20.09</v>
      </c>
      <c r="AH66" s="4">
        <v>18.510000000000002</v>
      </c>
      <c r="AI66" s="4">
        <v>17.899999999999999</v>
      </c>
      <c r="AJ66" s="4">
        <v>17.600000000000001</v>
      </c>
      <c r="AK66" s="4">
        <v>17.399999999999999</v>
      </c>
      <c r="AL66" s="4">
        <v>17.02</v>
      </c>
      <c r="AM66" s="4">
        <v>17.59</v>
      </c>
      <c r="AN66" s="4">
        <v>16.86</v>
      </c>
      <c r="AO66" s="4">
        <v>16.48</v>
      </c>
      <c r="AP66" s="4">
        <v>18.170000000000002</v>
      </c>
      <c r="AQ66" s="4">
        <v>17.579999999999998</v>
      </c>
      <c r="AR66" s="4">
        <v>17.02</v>
      </c>
      <c r="AS66" s="4">
        <v>16.670000000000002</v>
      </c>
      <c r="AT66" s="4">
        <v>17.53</v>
      </c>
      <c r="AU66" s="4">
        <v>17.93</v>
      </c>
      <c r="AV66" s="4">
        <v>18.190000000000001</v>
      </c>
      <c r="AW66" s="4">
        <v>17.690000000000001</v>
      </c>
      <c r="AX66" s="4">
        <v>17.899999999999999</v>
      </c>
      <c r="AY66" s="12">
        <v>18.100000000000001</v>
      </c>
      <c r="AZ66" s="12">
        <v>19.100000000000001</v>
      </c>
      <c r="BA66" s="12">
        <v>18.8</v>
      </c>
      <c r="BB66" s="18">
        <v>17.88</v>
      </c>
      <c r="BC66" s="63">
        <v>18.95</v>
      </c>
      <c r="BD66" s="63">
        <v>19.18</v>
      </c>
      <c r="BE66" s="63">
        <v>20.18</v>
      </c>
      <c r="BF66" s="63">
        <v>20.13</v>
      </c>
      <c r="BG66" s="91" cm="1">
        <f t="array" aca="1" ref="BG66" ca="1">_FV(EE66,"Preço")</f>
        <v>21.07</v>
      </c>
      <c r="BH66" s="93" t="s">
        <v>116</v>
      </c>
      <c r="BI66" s="32" cm="1">
        <f t="array" aca="1" ref="BI66" ca="1">_FV(EE66,"Beta")</f>
        <v>1.0185</v>
      </c>
      <c r="BJ66" s="96" cm="1">
        <f t="array" aca="1" ref="BJ66" ca="1">_FV(EE66,"Variação (%)",TRUE)</f>
        <v>-1.895E-3</v>
      </c>
      <c r="BK66" s="94"/>
      <c r="BL66" s="94"/>
      <c r="BN66" s="32"/>
      <c r="BO66" s="20" cm="1">
        <f t="array" aca="1" ref="BO66" ca="1">_FV(EE66,"Baixo")</f>
        <v>20.85</v>
      </c>
      <c r="BP66" s="20" cm="1">
        <f t="array" aca="1" ref="BP66" ca="1">_FV(EE66,"Alto")</f>
        <v>21.29</v>
      </c>
      <c r="BQ66" s="32"/>
      <c r="BR66" s="74">
        <f ca="1">SQRT(22.5*(BG66/VLOOKUP(BH66,Fundamentus!A:U,3,FALSE))*(BG66/VLOOKUP(BH66,Fundamentus!A:U,4,FALSE)))</f>
        <v>49.810271551276671</v>
      </c>
      <c r="BT66" s="73">
        <f t="shared" ca="1" si="0"/>
        <v>4.669647292598119E-2</v>
      </c>
      <c r="BU66" s="36">
        <f t="shared" si="1"/>
        <v>-0.16230801162308012</v>
      </c>
      <c r="BV66" s="8"/>
      <c r="BW66" s="72">
        <f t="shared" si="2"/>
        <v>16.48</v>
      </c>
      <c r="BX66" s="72">
        <f t="shared" si="3"/>
        <v>20.771379310344834</v>
      </c>
      <c r="BY66" s="72">
        <f t="shared" si="4"/>
        <v>26.03</v>
      </c>
      <c r="BZ66" s="17"/>
      <c r="CA66" s="17"/>
      <c r="CB66" s="43">
        <f t="shared" si="5"/>
        <v>19.608632017709105</v>
      </c>
      <c r="CC66" s="18">
        <f t="shared" si="6"/>
        <v>20.711265229615947</v>
      </c>
      <c r="CD66" s="43">
        <f t="shared" si="7"/>
        <v>21.813898441522788</v>
      </c>
      <c r="CE66" s="98">
        <f t="shared" ca="1" si="8"/>
        <v>0.32534370134169521</v>
      </c>
      <c r="CF66" s="17"/>
      <c r="CG66" s="20">
        <f t="shared" si="9"/>
        <v>6.1799999999999962</v>
      </c>
      <c r="CH66" s="20">
        <f t="shared" si="10"/>
        <v>11.329999999999998</v>
      </c>
      <c r="CI66" s="20">
        <f t="shared" si="11"/>
        <v>15.729999999999997</v>
      </c>
      <c r="CJ66" s="49">
        <f t="shared" si="12"/>
        <v>20.88</v>
      </c>
      <c r="CK66" s="20">
        <f t="shared" si="13"/>
        <v>25.279999999999998</v>
      </c>
      <c r="CL66" s="20">
        <f t="shared" si="14"/>
        <v>30.43</v>
      </c>
      <c r="CM66" s="20">
        <f t="shared" si="15"/>
        <v>34.83</v>
      </c>
      <c r="CN66" s="2" cm="1">
        <f t="array" aca="1" ref="CN66" ca="1">MAX(_xlfn._xlws.FILTER(CG66:CM66,CG66:CM66&lt;BG66))</f>
        <v>20.88</v>
      </c>
      <c r="CO66" s="2" cm="1">
        <f t="array" aca="1" ref="CO66" ca="1">MIN(_xlfn._xlws.FILTER($CG66:$CM66,$CG66:$CM66&gt;BG66))</f>
        <v>25.279999999999998</v>
      </c>
      <c r="CP66" s="19">
        <f t="shared" ca="1" si="82"/>
        <v>0.21072796934865901</v>
      </c>
      <c r="CQ66" s="23">
        <f t="shared" ca="1" si="83"/>
        <v>-0.1053639846743295</v>
      </c>
      <c r="CR66" s="23">
        <f t="shared" ca="1" si="84"/>
        <v>-7.0242656449553006E-2</v>
      </c>
      <c r="CS66" s="23">
        <f t="shared" ca="1" si="85"/>
        <v>-4.2145593869731802E-2</v>
      </c>
      <c r="CT66" s="23">
        <f t="shared" ca="1" si="86"/>
        <v>-2.3414218816517667E-2</v>
      </c>
      <c r="CU66" s="23">
        <f t="shared" ca="1" si="87"/>
        <v>-1.2395762902862295E-2</v>
      </c>
      <c r="CV66" s="23">
        <f t="shared" ca="1" si="88"/>
        <v>-6.3856960408684551E-3</v>
      </c>
      <c r="CW66" s="23">
        <f t="shared" ca="1" si="89"/>
        <v>-3.2419687592101384E-3</v>
      </c>
      <c r="CX66" s="24">
        <f t="shared" ca="1" si="90"/>
        <v>3.2419687592101384E-3</v>
      </c>
      <c r="CY66" s="24">
        <f t="shared" ca="1" si="91"/>
        <v>6.3856960408684551E-3</v>
      </c>
      <c r="CZ66" s="24">
        <f t="shared" ca="1" si="92"/>
        <v>1.2395762902862295E-2</v>
      </c>
      <c r="DA66" s="24">
        <f t="shared" ca="1" si="93"/>
        <v>2.3414218816517667E-2</v>
      </c>
      <c r="DB66" s="24">
        <f t="shared" ca="1" si="94"/>
        <v>4.2145593869731802E-2</v>
      </c>
      <c r="DC66" s="24">
        <f t="shared" ca="1" si="95"/>
        <v>7.0242656449553006E-2</v>
      </c>
      <c r="DD66" s="24">
        <f t="shared" ca="1" si="96"/>
        <v>0.1053639846743295</v>
      </c>
      <c r="DF66" s="19" cm="1">
        <f t="array" aca="1" ref="DF66" ca="1">MAX(_xlfn._xlws.FILTER(CQ66:DD66,CQ66:DD66&lt;BJ66))</f>
        <v>-3.2419687592101384E-3</v>
      </c>
      <c r="DG66" s="19" cm="1">
        <f t="array" aca="1" ref="DG66" ca="1">MIN(_xlfn._xlws.FILTER(CQ66:DD66,CQ66:DD66&gt;BJ66))</f>
        <v>3.2419687592101384E-3</v>
      </c>
      <c r="DH66" s="2" cm="1">
        <f t="array" aca="1" ref="DH66" ca="1">_FV(EE66,"Fechamento anterior",TRUE)</f>
        <v>21.11</v>
      </c>
      <c r="DI66" s="36">
        <f t="shared" ca="1" si="22"/>
        <v>0.20776452349167632</v>
      </c>
      <c r="DJ66" s="18">
        <f t="shared" ca="1" si="97"/>
        <v>21.041562039493073</v>
      </c>
      <c r="DK66" s="18">
        <f t="shared" ca="1" si="98"/>
        <v>21.178437960506926</v>
      </c>
      <c r="DL66" s="9"/>
      <c r="DM66" s="9"/>
      <c r="DN66" s="9"/>
      <c r="DO66" s="9"/>
      <c r="DP66" s="80">
        <v>1.8532631706284379E-2</v>
      </c>
      <c r="DQ66" s="80">
        <v>1.8532631706284379E-2</v>
      </c>
      <c r="DR66" s="80">
        <v>3.1103717549008747E-3</v>
      </c>
      <c r="DS66" s="80">
        <f t="shared" ca="1" si="25"/>
        <v>6.4839375184202767E-3</v>
      </c>
      <c r="DT66" s="47"/>
      <c r="DU66" s="43">
        <f t="shared" si="26"/>
        <v>0.55131660595342125</v>
      </c>
      <c r="DV66" s="83">
        <f t="shared" ca="1" si="27"/>
        <v>1.4445999999999999</v>
      </c>
      <c r="DW66" s="83">
        <f t="shared" ca="1" si="28"/>
        <v>1.208</v>
      </c>
      <c r="DX66" s="83">
        <f t="shared" ca="1" si="29"/>
        <v>0.23659999999999992</v>
      </c>
      <c r="DY66" s="67"/>
      <c r="DZ66" s="67"/>
      <c r="EA66" s="85"/>
      <c r="EB66" s="44">
        <v>5118400</v>
      </c>
      <c r="EC66" s="44" cm="1">
        <f t="array" aca="1" ref="EC66" ca="1">_FV(EE66,"Volume")</f>
        <v>8141600</v>
      </c>
      <c r="EE66" s="2" t="e" vm="66">
        <v>#VALUE!</v>
      </c>
      <c r="EG66" s="10" cm="1">
        <f t="array" aca="1" ref="EG66" ca="1">_FV(EE66,"Ações em circulação",TRUE)</f>
        <v>1119000000</v>
      </c>
      <c r="EH66" s="21">
        <f>VLOOKUP(BH66,Fundamentus!A:U,5,FALSE)</f>
        <v>0.128</v>
      </c>
      <c r="EI66" s="2">
        <f t="shared" ca="1" si="30"/>
        <v>184197890625</v>
      </c>
      <c r="EJ66" s="20">
        <v>6124112156.25</v>
      </c>
      <c r="EK66" s="20">
        <f t="shared" ca="1" si="31"/>
        <v>6410086593.75</v>
      </c>
      <c r="EM66" s="40" t="str">
        <f>IF(VLOOKUP(BH66,Fundamentus!A:U,3,FALSE)&lt;15,"Bom",IF(VLOOKUP(BH66,Fundamentus!A:U,3,FALSE)&gt;15,"Ruim","n/a"))</f>
        <v>Bom</v>
      </c>
      <c r="EN66" s="36" t="str">
        <f>IF(VLOOKUP(BH66,Fundamentus!A:U,4,FALSE)&lt;1,"Baixo",IF(VLOOKUP(BH66,Fundamentus!A:U,4,FALSE)&lt;1.5,"Moderado",IF(VLOOKUP(BH66,Fundamentus!A:U,4,FALSE)&gt;1.5,"Alto","n/a")))</f>
        <v>Moderado</v>
      </c>
      <c r="EO66" s="20" t="str">
        <f>IF(VLOOKUP(BH66,Fundamentus!A:U,8,FALSE)&lt;0,"Risco elevado",IF(VLOOKUP(BH66,Fundamentus!A:U,8,FALSE)&lt;1,"Saudável",IF(VLOOKUP(BH66,Fundamentus!A:U,8,FALSE)&lt;3,"Estável",IF(VLOOKUP(BH66,Fundamentus!A:U,8,FALSE)&gt;3,"Alerta","n/a"))))</f>
        <v>Estável</v>
      </c>
      <c r="EP66" s="36" t="str">
        <f t="shared" si="32"/>
        <v>Ruim</v>
      </c>
      <c r="EQ66" s="20" t="str">
        <f>IF(VLOOKUP(BH66,Fundamentus!A:U,12,FALSE)&lt;2,"Subvalorizada",IF(VLOOKUP(BH66,Fundamentus!A:U,12,FALSE)&lt;6,"Muita barata",IF(VLOOKUP(BH66,Fundamentus!A:U,12,FALSE)&lt;6,"Barata",IF(VLOOKUP(BH66,Fundamentus!A:U,12,FALSE)&lt;8,"Atrativa",IF(VLOOKUP(BH66,Fundamentus!A:U,12,FALSE)&gt;8,"Supervalorizada","n/a")))))</f>
        <v>Supervalorizada</v>
      </c>
      <c r="ES66" s="20" t="str">
        <f>IF(VLOOKUP(BH66,Fundamentus!A:U,17,FALSE)&lt;0.1,"Fraco retorno",IF(VLOOKUP(BH66,Fundamentus!A:U,17,FALSE)&gt;0.1,"Bom retorno","n/a"))</f>
        <v>Bom retorno</v>
      </c>
      <c r="ET66" s="20" t="str">
        <f>IF(VLOOKUP(BH66,Fundamentus!A:U,16,FALSE)&lt;0.1,"Ineficiente",IF(VLOOKUP(BH66,Fundamentus!A:U,16,FALSE)&gt;0.1,"Eficiente","n/a"))</f>
        <v>Ineficiente</v>
      </c>
      <c r="EU66" s="41" t="str">
        <f>IF(VLOOKUP(BH66,Fundamentus!A:U,16,FALSE)&lt;0.1,"Oper. Ineficiente",IF(VLOOKUP(BH66,Fundamentus!A:U,16,FALSE)&gt;0.1,"Oper.Eficiente","n/a"))</f>
        <v>Oper. Ineficiente</v>
      </c>
      <c r="EV66" s="42">
        <f>VLOOKUP(BH66,Fundamentus!A:U,14,FALSE)</f>
        <v>3.4799999999999998E-2</v>
      </c>
      <c r="EW66" s="20" t="str">
        <f>IF(VLOOKUP(BH66,Fundamentus!A:U,21,FALSE)&lt;0,"Negativo",IF(VLOOKUP(BH66,Fundamentus!A:U,21,FALSE)&lt;0.05,"Fraco",IF(VLOOKUP(BH66,Fundamentus!A:U,21,FALSE)&lt;0.1,"Bom",IF(VLOOKUP(BH66,Fundamentus!A:U,21,FALSE)&gt;0.1,"Muito bom","n/a"))))</f>
        <v>Muito bom</v>
      </c>
      <c r="EY66" s="37" t="str">
        <f>IF(VLOOKUP(BH66,Fundamentus!A:U,15,FALSE)&gt;1,"Bom",IF(VLOOKUP(BH66,Fundamentus!A:U,15,FALSE)&lt;1,"Ruim","n/a"))</f>
        <v>Bom</v>
      </c>
      <c r="EZ66" s="20" t="str">
        <f>IF(VLOOKUP(BH66,Fundamentus!A:U,20,FALSE)&lt;0.5,"Baixa",IF(VLOOKUP(BH66,Fundamentus!A:U,20,FALSE)&lt;1,"Moderada",IF(VLOOKUP(BH66,Fundamentus!A:U,20,FALSE)&lt;2,"Alerta",IF(VLOOKUP(BH66,Fundamentus!A:U,20,FALSE)&gt;2,"Alta","n/a"))))</f>
        <v>Alerta</v>
      </c>
      <c r="FA66" s="10"/>
    </row>
    <row r="67" spans="1:157" s="2" customFormat="1" ht="11.25" hidden="1" x14ac:dyDescent="0.2">
      <c r="A67" s="4">
        <v>18.46</v>
      </c>
      <c r="B67" s="4">
        <v>18</v>
      </c>
      <c r="C67" s="4">
        <v>18.29</v>
      </c>
      <c r="D67" s="4">
        <v>17.8</v>
      </c>
      <c r="E67" s="4">
        <v>17.510000000000002</v>
      </c>
      <c r="F67" s="4">
        <v>17.21</v>
      </c>
      <c r="G67" s="4">
        <v>17.03</v>
      </c>
      <c r="H67" s="4">
        <v>17.7</v>
      </c>
      <c r="I67" s="4">
        <v>19.39</v>
      </c>
      <c r="J67" s="4">
        <v>20.25</v>
      </c>
      <c r="K67" s="4">
        <v>20.52</v>
      </c>
      <c r="L67" s="4">
        <v>20.49</v>
      </c>
      <c r="M67" s="4">
        <v>19.34</v>
      </c>
      <c r="N67" s="4">
        <v>18.97</v>
      </c>
      <c r="O67" s="4">
        <v>18.47</v>
      </c>
      <c r="P67" s="4">
        <v>18.25</v>
      </c>
      <c r="Q67" s="4">
        <v>19.190000000000001</v>
      </c>
      <c r="R67" s="4">
        <v>19.739999999999998</v>
      </c>
      <c r="S67" s="4">
        <v>20.100000000000001</v>
      </c>
      <c r="T67" s="4">
        <v>20.41</v>
      </c>
      <c r="U67" s="4">
        <v>20.350000000000001</v>
      </c>
      <c r="V67" s="4">
        <v>20.350000000000001</v>
      </c>
      <c r="W67" s="4">
        <v>21.08</v>
      </c>
      <c r="X67" s="4">
        <v>20.84</v>
      </c>
      <c r="Y67" s="4">
        <v>22.26</v>
      </c>
      <c r="Z67" s="4">
        <v>22.33</v>
      </c>
      <c r="AA67" s="4">
        <v>21.1</v>
      </c>
      <c r="AB67" s="4">
        <v>20.8</v>
      </c>
      <c r="AC67" s="4">
        <v>20.73</v>
      </c>
      <c r="AD67" s="4">
        <v>20.65</v>
      </c>
      <c r="AE67" s="4">
        <v>20.36</v>
      </c>
      <c r="AF67" s="4">
        <v>20.97</v>
      </c>
      <c r="AG67" s="4">
        <v>21.28</v>
      </c>
      <c r="AH67" s="4">
        <v>20.25</v>
      </c>
      <c r="AI67" s="4">
        <v>20.59</v>
      </c>
      <c r="AJ67" s="4">
        <v>20.38</v>
      </c>
      <c r="AK67" s="4">
        <v>20.34</v>
      </c>
      <c r="AL67" s="4">
        <v>20.88</v>
      </c>
      <c r="AM67" s="4">
        <v>21.38</v>
      </c>
      <c r="AN67" s="4">
        <v>21.65</v>
      </c>
      <c r="AO67" s="4">
        <v>21.61</v>
      </c>
      <c r="AP67" s="4">
        <v>23.29</v>
      </c>
      <c r="AQ67" s="4">
        <v>23.79</v>
      </c>
      <c r="AR67" s="4">
        <v>23.77</v>
      </c>
      <c r="AS67" s="4">
        <v>25.2</v>
      </c>
      <c r="AT67" s="4">
        <v>26.38</v>
      </c>
      <c r="AU67" s="4">
        <v>27.3</v>
      </c>
      <c r="AV67" s="4">
        <v>27.47</v>
      </c>
      <c r="AW67" s="4">
        <v>26.99</v>
      </c>
      <c r="AX67" s="4">
        <v>27.3</v>
      </c>
      <c r="AY67" s="12">
        <v>27.69</v>
      </c>
      <c r="AZ67" s="12">
        <v>28.79</v>
      </c>
      <c r="BA67" s="12">
        <v>29.24</v>
      </c>
      <c r="BB67" s="18">
        <v>28.78</v>
      </c>
      <c r="BC67" s="63">
        <v>27.33</v>
      </c>
      <c r="BD67" s="63">
        <v>26.15</v>
      </c>
      <c r="BE67" s="63">
        <v>26.34</v>
      </c>
      <c r="BF67" s="63">
        <v>26.88</v>
      </c>
      <c r="BG67" s="91" cm="1">
        <f t="array" aca="1" ref="BG67" ca="1">_FV(EE67,"Preço")</f>
        <v>27.03</v>
      </c>
      <c r="BH67" s="93" t="s">
        <v>65</v>
      </c>
      <c r="BI67" s="32" cm="1">
        <f t="array" aca="1" ref="BI67" ca="1">_FV(EE67,"Beta")</f>
        <v>0.93489999999999995</v>
      </c>
      <c r="BJ67" s="96" cm="1">
        <f t="array" aca="1" ref="BJ67" ca="1">_FV(EE67,"Variação (%)",TRUE)</f>
        <v>-7.7090000000000006E-3</v>
      </c>
      <c r="BK67" s="49"/>
      <c r="BL67" s="49"/>
      <c r="BN67" s="32"/>
      <c r="BO67" s="20" cm="1">
        <f t="array" aca="1" ref="BO67" ca="1">_FV(EE67,"Baixo")</f>
        <v>26.95</v>
      </c>
      <c r="BP67" s="20" cm="1">
        <f t="array" aca="1" ref="BP67" ca="1">_FV(EE67,"Alto")</f>
        <v>27.36</v>
      </c>
      <c r="BQ67" s="32"/>
      <c r="BR67" s="74">
        <f ca="1">SQRT(22.5*(BG67/VLOOKUP(BH67,Fundamentus!A:U,3,FALSE))*(BG67/VLOOKUP(BH67,Fundamentus!A:U,4,FALSE)))</f>
        <v>14.694732062066999</v>
      </c>
      <c r="BT67" s="73">
        <f t="shared" ca="1" si="0"/>
        <v>5.5803571428572228E-3</v>
      </c>
      <c r="BU67" s="36">
        <f t="shared" si="1"/>
        <v>0.42686890574214509</v>
      </c>
      <c r="BV67" s="8"/>
      <c r="BW67" s="72">
        <f t="shared" si="2"/>
        <v>17.03</v>
      </c>
      <c r="BX67" s="72">
        <f t="shared" si="3"/>
        <v>21.896379310344827</v>
      </c>
      <c r="BY67" s="72">
        <f t="shared" si="4"/>
        <v>29.24</v>
      </c>
      <c r="BZ67" s="17"/>
      <c r="CA67" s="17"/>
      <c r="CB67" s="43">
        <f t="shared" si="5"/>
        <v>25.434487278016579</v>
      </c>
      <c r="CC67" s="18">
        <f t="shared" si="6"/>
        <v>26.361255857544393</v>
      </c>
      <c r="CD67" s="43">
        <f t="shared" si="7"/>
        <v>27.288024437072206</v>
      </c>
      <c r="CE67" s="98">
        <f t="shared" ca="1" si="8"/>
        <v>0.72158698215290396</v>
      </c>
      <c r="CF67" s="17"/>
      <c r="CG67" s="20">
        <f t="shared" si="9"/>
        <v>7.3166666666666629</v>
      </c>
      <c r="CH67" s="20">
        <f t="shared" si="10"/>
        <v>12.173333333333332</v>
      </c>
      <c r="CI67" s="20">
        <f t="shared" si="11"/>
        <v>19.52666666666666</v>
      </c>
      <c r="CJ67" s="49">
        <f t="shared" si="12"/>
        <v>24.383333333333329</v>
      </c>
      <c r="CK67" s="20">
        <f t="shared" si="13"/>
        <v>31.736666666666657</v>
      </c>
      <c r="CL67" s="20">
        <f t="shared" si="14"/>
        <v>36.593333333333327</v>
      </c>
      <c r="CM67" s="20">
        <f t="shared" si="15"/>
        <v>43.946666666666658</v>
      </c>
      <c r="CN67" s="2" cm="1">
        <f t="array" aca="1" ref="CN67" ca="1">MAX(_xlfn._xlws.FILTER(CG67:CM67,CG67:CM67&lt;BG67))</f>
        <v>24.383333333333329</v>
      </c>
      <c r="CO67" s="2" cm="1">
        <f t="array" aca="1" ref="CO67" ca="1">MIN(_xlfn._xlws.FILTER($CG67:$CM67,$CG67:$CM67&gt;BG67))</f>
        <v>31.736666666666657</v>
      </c>
      <c r="CP67" s="19">
        <f t="shared" ca="1" si="82"/>
        <v>0.30157211209842782</v>
      </c>
      <c r="CQ67" s="23">
        <f t="shared" ca="1" si="83"/>
        <v>-0.15078605604921391</v>
      </c>
      <c r="CR67" s="23">
        <f t="shared" ca="1" si="84"/>
        <v>-0.10052403736614261</v>
      </c>
      <c r="CS67" s="23">
        <f t="shared" ca="1" si="85"/>
        <v>-6.0314422419685564E-2</v>
      </c>
      <c r="CT67" s="23">
        <f t="shared" ca="1" si="86"/>
        <v>-3.3508012455380869E-2</v>
      </c>
      <c r="CU67" s="23">
        <f t="shared" ca="1" si="87"/>
        <v>-1.7739536005789872E-2</v>
      </c>
      <c r="CV67" s="23">
        <f t="shared" ca="1" si="88"/>
        <v>-9.1385488514675092E-3</v>
      </c>
      <c r="CW67" s="23">
        <f t="shared" ca="1" si="89"/>
        <v>-4.6395709553604279E-3</v>
      </c>
      <c r="CX67" s="24">
        <f t="shared" ca="1" si="90"/>
        <v>4.6395709553604279E-3</v>
      </c>
      <c r="CY67" s="24">
        <f t="shared" ca="1" si="91"/>
        <v>9.1385488514675092E-3</v>
      </c>
      <c r="CZ67" s="24">
        <f t="shared" ca="1" si="92"/>
        <v>1.7739536005789872E-2</v>
      </c>
      <c r="DA67" s="24">
        <f t="shared" ca="1" si="93"/>
        <v>3.3508012455380869E-2</v>
      </c>
      <c r="DB67" s="24">
        <f t="shared" ca="1" si="94"/>
        <v>6.0314422419685564E-2</v>
      </c>
      <c r="DC67" s="24">
        <f t="shared" ca="1" si="95"/>
        <v>0.10052403736614261</v>
      </c>
      <c r="DD67" s="24">
        <f t="shared" ca="1" si="96"/>
        <v>0.15078605604921391</v>
      </c>
      <c r="DF67" s="19" cm="1">
        <f t="array" aca="1" ref="DF67" ca="1">MAX(_xlfn._xlws.FILTER(CQ67:DD67,CQ67:DD67&lt;BJ67))</f>
        <v>-9.1385488514675092E-3</v>
      </c>
      <c r="DG67" s="19" cm="1">
        <f t="array" aca="1" ref="DG67" ca="1">MIN(_xlfn._xlws.FILTER(CQ67:DD67,CQ67:DD67&gt;BJ67))</f>
        <v>-4.6395709553604279E-3</v>
      </c>
      <c r="DH67" s="2" cm="1">
        <f t="array" aca="1" ref="DH67" ca="1">_FV(EE67,"Fechamento anterior",TRUE)</f>
        <v>27.24</v>
      </c>
      <c r="DI67" s="36">
        <f t="shared" ca="1" si="22"/>
        <v>0.31769388139977378</v>
      </c>
      <c r="DJ67" s="18">
        <f t="shared" ca="1" si="97"/>
        <v>26.991065929286023</v>
      </c>
      <c r="DK67" s="18">
        <f t="shared" ca="1" si="98"/>
        <v>27.113618087175979</v>
      </c>
      <c r="DL67" s="9"/>
      <c r="DM67" s="9"/>
      <c r="DN67" s="9"/>
      <c r="DO67" s="9"/>
      <c r="DP67" s="79">
        <v>4.3763475688957387E-3</v>
      </c>
      <c r="DQ67" s="79">
        <v>9.0262168608474594E-3</v>
      </c>
      <c r="DR67" s="79">
        <v>4.3763475688957387E-3</v>
      </c>
      <c r="DS67" s="79">
        <f t="shared" ca="1" si="25"/>
        <v>4.4989778961070813E-3</v>
      </c>
      <c r="DT67" s="47"/>
      <c r="DU67" s="43">
        <f t="shared" si="26"/>
        <v>0.46338428976390617</v>
      </c>
      <c r="DV67" s="83">
        <f t="shared" ca="1" si="27"/>
        <v>1.361</v>
      </c>
      <c r="DW67" s="83">
        <f t="shared" ca="1" si="28"/>
        <v>1.7058</v>
      </c>
      <c r="DX67" s="83">
        <f t="shared" ca="1" si="29"/>
        <v>-0.3448</v>
      </c>
      <c r="DY67" s="67"/>
      <c r="DZ67" s="67"/>
      <c r="EA67" s="85"/>
      <c r="EB67" s="44">
        <v>135500</v>
      </c>
      <c r="EC67" s="44" cm="1">
        <f t="array" aca="1" ref="EC67" ca="1">_FV(EE67,"Volume")</f>
        <v>367800</v>
      </c>
      <c r="EE67" s="2" t="e" vm="67">
        <v>#VALUE!</v>
      </c>
      <c r="EG67" s="10" cm="1">
        <f t="array" aca="1" ref="EG67" ca="1">_FV(EE67,"Ações em circulação",TRUE)</f>
        <v>270016300</v>
      </c>
      <c r="EH67" s="21">
        <f>VLOOKUP(BH67,Fundamentus!A:U,5,FALSE)</f>
        <v>1.637</v>
      </c>
      <c r="EI67" s="2">
        <f t="shared" ca="1" si="30"/>
        <v>4458485393.402566</v>
      </c>
      <c r="EJ67" s="20">
        <v>333860887.13695782</v>
      </c>
      <c r="EK67" s="20">
        <f t="shared" ca="1" si="31"/>
        <v>335723950.12321323</v>
      </c>
      <c r="EM67" s="40" t="str">
        <f>IF(VLOOKUP(BH67,Fundamentus!A:U,3,FALSE)&lt;15,"Bom",IF(VLOOKUP(BH67,Fundamentus!A:U,3,FALSE)&gt;15,"Ruim","n/a"))</f>
        <v>Ruim</v>
      </c>
      <c r="EN67" s="36" t="str">
        <f>IF(VLOOKUP(BH67,Fundamentus!A:U,4,FALSE)&lt;1,"Baixo",IF(VLOOKUP(BH67,Fundamentus!A:U,4,FALSE)&lt;1.5,"Moderado",IF(VLOOKUP(BH67,Fundamentus!A:U,4,FALSE)&gt;1.5,"Alto","n/a")))</f>
        <v>Alto</v>
      </c>
      <c r="EO67" s="20" t="str">
        <f>IF(VLOOKUP(BH67,Fundamentus!A:U,8,FALSE)&lt;0,"Risco elevado",IF(VLOOKUP(BH67,Fundamentus!A:U,8,FALSE)&lt;1,"Saudável",IF(VLOOKUP(BH67,Fundamentus!A:U,8,FALSE)&lt;3,"Estável",IF(VLOOKUP(BH67,Fundamentus!A:U,8,FALSE)&gt;3,"Alerta","n/a"))))</f>
        <v>Alerta</v>
      </c>
      <c r="EP67" s="36" t="str">
        <f t="shared" si="32"/>
        <v>Bom</v>
      </c>
      <c r="EQ67" s="20" t="str">
        <f>IF(VLOOKUP(BH67,Fundamentus!A:U,12,FALSE)&lt;2,"Subvalorizada",IF(VLOOKUP(BH67,Fundamentus!A:U,12,FALSE)&lt;6,"Muita barata",IF(VLOOKUP(BH67,Fundamentus!A:U,12,FALSE)&lt;6,"Barata",IF(VLOOKUP(BH67,Fundamentus!A:U,12,FALSE)&lt;8,"Atrativa",IF(VLOOKUP(BH67,Fundamentus!A:U,12,FALSE)&gt;8,"Supervalorizada","n/a")))))</f>
        <v>Supervalorizada</v>
      </c>
      <c r="ES67" s="20" t="str">
        <f>IF(VLOOKUP(BH67,Fundamentus!A:U,17,FALSE)&lt;0.1,"Fraco retorno",IF(VLOOKUP(BH67,Fundamentus!A:U,17,FALSE)&gt;0.1,"Bom retorno","n/a"))</f>
        <v>Bom retorno</v>
      </c>
      <c r="ET67" s="20" t="str">
        <f>IF(VLOOKUP(BH67,Fundamentus!A:U,16,FALSE)&lt;0.1,"Ineficiente",IF(VLOOKUP(BH67,Fundamentus!A:U,16,FALSE)&gt;0.1,"Eficiente","n/a"))</f>
        <v>Eficiente</v>
      </c>
      <c r="EU67" s="41" t="str">
        <f>IF(VLOOKUP(BH67,Fundamentus!A:U,16,FALSE)&lt;0.1,"Oper. Ineficiente",IF(VLOOKUP(BH67,Fundamentus!A:U,16,FALSE)&gt;0.1,"Oper.Eficiente","n/a"))</f>
        <v>Oper.Eficiente</v>
      </c>
      <c r="EV67" s="42">
        <f>VLOOKUP(BH67,Fundamentus!A:U,14,FALSE)</f>
        <v>7.5300000000000006E-2</v>
      </c>
      <c r="EW67" s="20" t="str">
        <f>IF(VLOOKUP(BH67,Fundamentus!A:U,21,FALSE)&lt;0,"Negativo",IF(VLOOKUP(BH67,Fundamentus!A:U,21,FALSE)&lt;0.05,"Fraco",IF(VLOOKUP(BH67,Fundamentus!A:U,21,FALSE)&lt;0.1,"Bom",IF(VLOOKUP(BH67,Fundamentus!A:U,21,FALSE)&gt;0.1,"Muito bom","n/a"))))</f>
        <v>Muito bom</v>
      </c>
      <c r="EY67" s="37" t="str">
        <f>IF(VLOOKUP(BH67,Fundamentus!A:U,15,FALSE)&gt;1,"Bom",IF(VLOOKUP(BH67,Fundamentus!A:U,15,FALSE)&lt;1,"Ruim","n/a"))</f>
        <v>Bom</v>
      </c>
      <c r="EZ67" s="20" t="str">
        <f>IF(VLOOKUP(BH67,Fundamentus!A:U,20,FALSE)&lt;0.5,"Baixa",IF(VLOOKUP(BH67,Fundamentus!A:U,20,FALSE)&lt;1,"Moderada",IF(VLOOKUP(BH67,Fundamentus!A:U,20,FALSE)&lt;2,"Alerta",IF(VLOOKUP(BH67,Fundamentus!A:U,20,FALSE)&gt;2,"Alta","n/a"))))</f>
        <v>Alerta</v>
      </c>
    </row>
    <row r="68" spans="1:157" s="2" customFormat="1" ht="11.25" hidden="1" x14ac:dyDescent="0.2">
      <c r="A68" s="4">
        <v>9.69</v>
      </c>
      <c r="B68" s="4">
        <v>9.68</v>
      </c>
      <c r="C68" s="4">
        <v>9.74</v>
      </c>
      <c r="D68" s="4">
        <v>9.7899999999999991</v>
      </c>
      <c r="E68" s="4">
        <v>9.64</v>
      </c>
      <c r="F68" s="4">
        <v>9.8699999999999992</v>
      </c>
      <c r="G68" s="4">
        <v>9.73</v>
      </c>
      <c r="H68" s="4">
        <v>9.93</v>
      </c>
      <c r="I68" s="4">
        <v>9.9600000000000009</v>
      </c>
      <c r="J68" s="4">
        <v>10.14</v>
      </c>
      <c r="K68" s="4">
        <v>10.49</v>
      </c>
      <c r="L68" s="4">
        <v>10.199999999999999</v>
      </c>
      <c r="M68" s="4">
        <v>10.32</v>
      </c>
      <c r="N68" s="4">
        <v>10.050000000000001</v>
      </c>
      <c r="O68" s="4">
        <v>10.32</v>
      </c>
      <c r="P68" s="4">
        <v>10.17</v>
      </c>
      <c r="Q68" s="4">
        <v>10.47</v>
      </c>
      <c r="R68" s="4">
        <v>10.45</v>
      </c>
      <c r="S68" s="4">
        <v>10.28</v>
      </c>
      <c r="T68" s="4">
        <v>10.39</v>
      </c>
      <c r="U68" s="4">
        <v>10.18</v>
      </c>
      <c r="V68" s="4">
        <v>10.130000000000001</v>
      </c>
      <c r="W68" s="4">
        <v>9.7100000000000009</v>
      </c>
      <c r="X68" s="4">
        <v>9.6</v>
      </c>
      <c r="Y68" s="4">
        <v>9.58</v>
      </c>
      <c r="Z68" s="4">
        <v>9.65</v>
      </c>
      <c r="AA68" s="4">
        <v>9.3000000000000007</v>
      </c>
      <c r="AB68" s="4">
        <v>9.39</v>
      </c>
      <c r="AC68" s="4">
        <v>9.5</v>
      </c>
      <c r="AD68" s="4">
        <v>9.4499999999999993</v>
      </c>
      <c r="AE68" s="4">
        <v>9.17</v>
      </c>
      <c r="AF68" s="4">
        <v>9.01</v>
      </c>
      <c r="AG68" s="4">
        <v>9.07</v>
      </c>
      <c r="AH68" s="4">
        <v>8.83</v>
      </c>
      <c r="AI68" s="4">
        <v>8.75</v>
      </c>
      <c r="AJ68" s="4">
        <v>8.69</v>
      </c>
      <c r="AK68" s="4">
        <v>8.9600000000000009</v>
      </c>
      <c r="AL68" s="4">
        <v>9.02</v>
      </c>
      <c r="AM68" s="4">
        <v>8.9700000000000006</v>
      </c>
      <c r="AN68" s="4">
        <v>9.2100000000000009</v>
      </c>
      <c r="AO68" s="4">
        <v>9.17</v>
      </c>
      <c r="AP68" s="4">
        <v>9.57</v>
      </c>
      <c r="AQ68" s="4">
        <v>9.35</v>
      </c>
      <c r="AR68" s="4">
        <v>9.1</v>
      </c>
      <c r="AS68" s="4">
        <v>9.2899999999999991</v>
      </c>
      <c r="AT68" s="4">
        <v>9.67</v>
      </c>
      <c r="AU68" s="4">
        <v>9.7899999999999991</v>
      </c>
      <c r="AV68" s="4">
        <v>9.64</v>
      </c>
      <c r="AW68" s="4">
        <v>9.7799999999999994</v>
      </c>
      <c r="AX68" s="4">
        <v>9.81</v>
      </c>
      <c r="AY68" s="12">
        <v>9.51</v>
      </c>
      <c r="AZ68" s="12">
        <v>9.99</v>
      </c>
      <c r="BA68" s="12">
        <v>9.9600000000000009</v>
      </c>
      <c r="BB68" s="18">
        <v>9.84</v>
      </c>
      <c r="BC68" s="63">
        <v>9.9</v>
      </c>
      <c r="BD68" s="63">
        <v>9.99</v>
      </c>
      <c r="BE68" s="63">
        <v>10.14</v>
      </c>
      <c r="BF68" s="63">
        <v>9.61</v>
      </c>
      <c r="BG68" s="91" cm="1">
        <f t="array" aca="1" ref="BG68" ca="1">_FV(EE68,"Preço")</f>
        <v>9.6300000000000008</v>
      </c>
      <c r="BH68" s="93" t="s">
        <v>66</v>
      </c>
      <c r="BI68" s="32" cm="1">
        <f t="array" aca="1" ref="BI68" ca="1">_FV(EE68,"Beta")</f>
        <v>0.59940000000000004</v>
      </c>
      <c r="BJ68" s="96" cm="1">
        <f t="array" aca="1" ref="BJ68" ca="1">_FV(EE68,"Variação (%)",TRUE)</f>
        <v>-9.2589999999999999E-3</v>
      </c>
      <c r="BK68" s="49"/>
      <c r="BL68" s="49"/>
      <c r="BN68" s="32"/>
      <c r="BO68" s="20" cm="1">
        <f t="array" aca="1" ref="BO68" ca="1">_FV(EE68,"Baixo")</f>
        <v>9.61</v>
      </c>
      <c r="BP68" s="20" cm="1">
        <f t="array" aca="1" ref="BP68" ca="1">_FV(EE68,"Alto")</f>
        <v>9.7100000000000009</v>
      </c>
      <c r="BQ68" s="32"/>
      <c r="BR68" s="74">
        <f ca="1">SQRT(22.5*(BG68/VLOOKUP(BH68,Fundamentus!A:U,3,FALSE))*(BG68/VLOOKUP(BH68,Fundamentus!A:U,4,FALSE)))</f>
        <v>14.597165721637776</v>
      </c>
      <c r="BT68" s="73">
        <f t="shared" ca="1" si="0"/>
        <v>2.0811654526536267E-3</v>
      </c>
      <c r="BU68" s="36">
        <f t="shared" si="1"/>
        <v>4.6439628482972249E-2</v>
      </c>
      <c r="BV68" s="8"/>
      <c r="BW68" s="72">
        <f t="shared" si="2"/>
        <v>8.69</v>
      </c>
      <c r="BX68" s="72">
        <f t="shared" si="3"/>
        <v>9.682586206896552</v>
      </c>
      <c r="BY68" s="72">
        <f t="shared" si="4"/>
        <v>10.49</v>
      </c>
      <c r="BZ68" s="17"/>
      <c r="CA68" s="17"/>
      <c r="CB68" s="43">
        <f t="shared" si="5"/>
        <v>9.3564573568486846</v>
      </c>
      <c r="CC68" s="18">
        <f t="shared" si="6"/>
        <v>9.7429803186504387</v>
      </c>
      <c r="CD68" s="43">
        <f t="shared" si="7"/>
        <v>10.129503280452193</v>
      </c>
      <c r="CE68" s="98">
        <f t="shared" ca="1" si="8"/>
        <v>-0.29229911238335438</v>
      </c>
      <c r="CF68" s="17"/>
      <c r="CG68" s="20">
        <f t="shared" si="9"/>
        <v>6.9033333333333307</v>
      </c>
      <c r="CH68" s="20">
        <f t="shared" si="10"/>
        <v>7.7966666666666651</v>
      </c>
      <c r="CI68" s="20">
        <f t="shared" si="11"/>
        <v>8.7033333333333314</v>
      </c>
      <c r="CJ68" s="49">
        <f t="shared" si="12"/>
        <v>9.5966666666666658</v>
      </c>
      <c r="CK68" s="20">
        <f t="shared" si="13"/>
        <v>10.503333333333332</v>
      </c>
      <c r="CL68" s="20">
        <f t="shared" si="14"/>
        <v>11.396666666666667</v>
      </c>
      <c r="CM68" s="20">
        <f t="shared" si="15"/>
        <v>12.303333333333333</v>
      </c>
      <c r="CN68" s="2" cm="1">
        <f t="array" aca="1" ref="CN68" ca="1">MAX(_xlfn._xlws.FILTER(CG68:CM68,CG68:CM68&lt;BG68))</f>
        <v>9.5966666666666658</v>
      </c>
      <c r="CO68" s="2" cm="1">
        <f t="array" aca="1" ref="CO68" ca="1">MIN(_xlfn._xlws.FILTER($CG68:$CM68,$CG68:$CM68&gt;BG68))</f>
        <v>10.503333333333332</v>
      </c>
      <c r="CP68" s="19">
        <f t="shared" ca="1" si="82"/>
        <v>9.4477249044807143E-2</v>
      </c>
      <c r="CQ68" s="23">
        <f t="shared" ca="1" si="83"/>
        <v>-4.7238624522403572E-2</v>
      </c>
      <c r="CR68" s="23">
        <f t="shared" ca="1" si="84"/>
        <v>-3.1492416348269048E-2</v>
      </c>
      <c r="CS68" s="23">
        <f t="shared" ca="1" si="85"/>
        <v>-1.8895449808961427E-2</v>
      </c>
      <c r="CT68" s="23">
        <f t="shared" ca="1" si="86"/>
        <v>-1.0497472116089682E-2</v>
      </c>
      <c r="CU68" s="23">
        <f t="shared" ca="1" si="87"/>
        <v>-5.5574852379298321E-3</v>
      </c>
      <c r="CV68" s="23">
        <f t="shared" ca="1" si="88"/>
        <v>-2.8629469407517316E-3</v>
      </c>
      <c r="CW68" s="23">
        <f t="shared" ca="1" si="89"/>
        <v>-1.4534961391508791E-3</v>
      </c>
      <c r="CX68" s="24">
        <f t="shared" ca="1" si="90"/>
        <v>1.4534961391508791E-3</v>
      </c>
      <c r="CY68" s="24">
        <f t="shared" ca="1" si="91"/>
        <v>2.8629469407517316E-3</v>
      </c>
      <c r="CZ68" s="24">
        <f t="shared" ca="1" si="92"/>
        <v>5.5574852379298321E-3</v>
      </c>
      <c r="DA68" s="24">
        <f t="shared" ca="1" si="93"/>
        <v>1.0497472116089682E-2</v>
      </c>
      <c r="DB68" s="24">
        <f t="shared" ca="1" si="94"/>
        <v>1.8895449808961427E-2</v>
      </c>
      <c r="DC68" s="24">
        <f t="shared" ca="1" si="95"/>
        <v>3.1492416348269048E-2</v>
      </c>
      <c r="DD68" s="24">
        <f t="shared" ca="1" si="96"/>
        <v>4.7238624522403572E-2</v>
      </c>
      <c r="DF68" s="19" cm="1">
        <f t="array" aca="1" ref="DF68" ca="1">MAX(_xlfn._xlws.FILTER(CQ68:DD68,CQ68:DD68&lt;BJ68))</f>
        <v>-1.0497472116089682E-2</v>
      </c>
      <c r="DG68" s="19" cm="1">
        <f t="array" aca="1" ref="DG68" ca="1">MIN(_xlfn._xlws.FILTER(CQ68:DD68,CQ68:DD68&gt;BJ68))</f>
        <v>-5.5574852379298321E-3</v>
      </c>
      <c r="DH68" s="2" cm="1">
        <f t="array" aca="1" ref="DH68" ca="1">_FV(EE68,"Fechamento anterior",TRUE)</f>
        <v>9.7200000000000006</v>
      </c>
      <c r="DI68" s="36">
        <f t="shared" ca="1" si="22"/>
        <v>0.25065104166667385</v>
      </c>
      <c r="DJ68" s="18">
        <f t="shared" ca="1" si="97"/>
        <v>9.6179645710316084</v>
      </c>
      <c r="DK68" s="18">
        <f t="shared" ca="1" si="98"/>
        <v>9.6659812434873231</v>
      </c>
      <c r="DL68" s="9"/>
      <c r="DM68" s="9"/>
      <c r="DN68" s="9"/>
      <c r="DO68" s="9"/>
      <c r="DP68" s="81">
        <v>8.6210214370934894E-3</v>
      </c>
      <c r="DQ68" s="81">
        <v>1.2931532155640232E-2</v>
      </c>
      <c r="DR68" s="81">
        <v>1.3196294886435745E-2</v>
      </c>
      <c r="DS68" s="81">
        <f t="shared" ca="1" si="25"/>
        <v>4.9399868781598499E-3</v>
      </c>
      <c r="DT68" s="47"/>
      <c r="DU68" s="43">
        <f t="shared" si="26"/>
        <v>0.1932614809008773</v>
      </c>
      <c r="DV68" s="83">
        <f t="shared" ca="1" si="27"/>
        <v>1.0255000000000001</v>
      </c>
      <c r="DW68" s="83">
        <f t="shared" ca="1" si="28"/>
        <v>1.5253000000000001</v>
      </c>
      <c r="DX68" s="83">
        <f t="shared" ca="1" si="29"/>
        <v>-0.49980000000000002</v>
      </c>
      <c r="DY68" s="67"/>
      <c r="DZ68" s="67"/>
      <c r="EA68" s="85"/>
      <c r="EB68" s="44">
        <v>17200</v>
      </c>
      <c r="EC68" s="44" cm="1">
        <f t="array" aca="1" ref="EC68" ca="1">_FV(EE68,"Volume")</f>
        <v>5000</v>
      </c>
      <c r="EE68" s="2" t="e" vm="68">
        <v>#VALUE!</v>
      </c>
      <c r="EG68" s="10" cm="1">
        <f t="array" aca="1" ref="EG68" ca="1">_FV(EE68,"Ações em circulação",TRUE)</f>
        <v>329626900</v>
      </c>
      <c r="EH68" s="21">
        <f>VLOOKUP(BH68,Fundamentus!A:U,5,FALSE)</f>
        <v>2.2959999999999998</v>
      </c>
      <c r="EI68" s="2">
        <f t="shared" ca="1" si="30"/>
        <v>1382537912.4564464</v>
      </c>
      <c r="EJ68" s="20">
        <v>633680868.45979965</v>
      </c>
      <c r="EK68" s="20">
        <f t="shared" ca="1" si="31"/>
        <v>634999663.19124579</v>
      </c>
      <c r="EM68" s="50" t="str">
        <f>IF(VLOOKUP(BH68,Fundamentus!A:U,3,FALSE)&lt;15,"Bom",IF(VLOOKUP(BH68,Fundamentus!A:U,3,FALSE)&gt;15,"Ruim","n/a"))</f>
        <v>Bom</v>
      </c>
      <c r="EN68" s="51" t="str">
        <f>IF(VLOOKUP(BH68,Fundamentus!A:U,4,FALSE)&lt;1,"Baixo",IF(VLOOKUP(BH68,Fundamentus!A:U,4,FALSE)&lt;1.5,"Moderado",IF(VLOOKUP(BH68,Fundamentus!A:U,4,FALSE)&gt;1.5,"Alto","n/a")))</f>
        <v>Moderado</v>
      </c>
      <c r="EO68" s="52" t="str">
        <f>IF(VLOOKUP(BH68,Fundamentus!A:U,8,FALSE)&lt;0,"Risco elevado",IF(VLOOKUP(BH68,Fundamentus!A:U,8,FALSE)&lt;1,"Saudável",IF(VLOOKUP(BH68,Fundamentus!A:U,8,FALSE)&lt;3,"Estável",IF(VLOOKUP(BH68,Fundamentus!A:U,8,FALSE)&gt;3,"Alerta","n/a"))))</f>
        <v>Estável</v>
      </c>
      <c r="EP68" s="51" t="str">
        <f t="shared" si="32"/>
        <v>Bom</v>
      </c>
      <c r="EQ68" s="52" t="str">
        <f>IF(VLOOKUP(BH68,Fundamentus!A:U,12,FALSE)&lt;2,"Subvalorizada",IF(VLOOKUP(BH68,Fundamentus!A:U,12,FALSE)&lt;6,"Muita barata",IF(VLOOKUP(BH68,Fundamentus!A:U,12,FALSE)&lt;6,"Barata",IF(VLOOKUP(BH68,Fundamentus!A:U,12,FALSE)&lt;8,"Atrativa",IF(VLOOKUP(BH68,Fundamentus!A:U,12,FALSE)&gt;8,"Supervalorizada","n/a")))))</f>
        <v>Atrativa</v>
      </c>
      <c r="ES68" s="52" t="str">
        <f>IF(VLOOKUP(BH68,Fundamentus!A:U,17,FALSE)&lt;0.1,"Fraco retorno",IF(VLOOKUP(BH68,Fundamentus!A:U,17,FALSE)&gt;0.1,"Bom retorno","n/a"))</f>
        <v>Bom retorno</v>
      </c>
      <c r="ET68" s="52" t="str">
        <f>IF(VLOOKUP(BH68,Fundamentus!A:U,16,FALSE)&lt;0.1,"Ineficiente",IF(VLOOKUP(BH68,Fundamentus!A:U,16,FALSE)&gt;0.1,"Eficiente","n/a"))</f>
        <v>Eficiente</v>
      </c>
      <c r="EU68" s="53" t="str">
        <f>IF(VLOOKUP(BH68,Fundamentus!A:U,16,FALSE)&lt;0.1,"Oper. Ineficiente",IF(VLOOKUP(BH68,Fundamentus!A:U,16,FALSE)&gt;0.1,"Oper.Eficiente","n/a"))</f>
        <v>Oper.Eficiente</v>
      </c>
      <c r="EV68" s="54">
        <f>VLOOKUP(BH68,Fundamentus!A:U,14,FALSE)</f>
        <v>0.45929999999999999</v>
      </c>
      <c r="EW68" s="52" t="str">
        <f>IF(VLOOKUP(BH68,Fundamentus!A:U,21,FALSE)&lt;0,"Negativo",IF(VLOOKUP(BH68,Fundamentus!A:U,21,FALSE)&lt;0.05,"Fraco",IF(VLOOKUP(BH68,Fundamentus!A:U,21,FALSE)&lt;0.1,"Bom",IF(VLOOKUP(BH68,Fundamentus!A:U,21,FALSE)&gt;0.1,"Muito bom","n/a"))))</f>
        <v>Negativo</v>
      </c>
      <c r="EY68" s="55" t="str">
        <f>IF(VLOOKUP(BH68,Fundamentus!A:U,15,FALSE)&gt;1,"Bom",IF(VLOOKUP(BH68,Fundamentus!A:U,15,FALSE)&lt;1,"Ruim","n/a"))</f>
        <v>Bom</v>
      </c>
      <c r="EZ68" s="52" t="str">
        <f>IF(VLOOKUP(BH68,Fundamentus!A:U,20,FALSE)&lt;0.5,"Baixa",IF(VLOOKUP(BH68,Fundamentus!A:U,20,FALSE)&lt;1,"Moderada",IF(VLOOKUP(BH68,Fundamentus!A:U,20,FALSE)&lt;2,"Alerta",IF(VLOOKUP(BH68,Fundamentus!A:U,20,FALSE)&gt;2,"Alta","n/a"))))</f>
        <v>Alerta</v>
      </c>
    </row>
    <row r="69" spans="1:157" s="2" customFormat="1" ht="11.25" hidden="1" x14ac:dyDescent="0.2">
      <c r="A69" s="4">
        <v>4.71</v>
      </c>
      <c r="B69" s="4">
        <v>4.84</v>
      </c>
      <c r="C69" s="4">
        <v>4.84</v>
      </c>
      <c r="D69" s="4">
        <v>4.6399999999999997</v>
      </c>
      <c r="E69" s="4">
        <v>4.7</v>
      </c>
      <c r="F69" s="4">
        <v>4.71</v>
      </c>
      <c r="G69" s="4">
        <v>4.63</v>
      </c>
      <c r="H69" s="4">
        <v>4.6500000000000004</v>
      </c>
      <c r="I69" s="4">
        <v>4.8499999999999996</v>
      </c>
      <c r="J69" s="4">
        <v>5.15</v>
      </c>
      <c r="K69" s="4">
        <v>5.19</v>
      </c>
      <c r="L69" s="4">
        <v>5.05</v>
      </c>
      <c r="M69" s="4">
        <v>5.01</v>
      </c>
      <c r="N69" s="4">
        <v>4.78</v>
      </c>
      <c r="O69" s="4">
        <v>4.79</v>
      </c>
      <c r="P69" s="4">
        <v>4.66</v>
      </c>
      <c r="Q69" s="4">
        <v>4.8</v>
      </c>
      <c r="R69" s="4">
        <v>4.62</v>
      </c>
      <c r="S69" s="4">
        <v>4.6399999999999997</v>
      </c>
      <c r="T69" s="4">
        <v>4.8600000000000003</v>
      </c>
      <c r="U69" s="4">
        <v>4.9000000000000004</v>
      </c>
      <c r="V69" s="4">
        <v>4.84</v>
      </c>
      <c r="W69" s="4">
        <v>4.9400000000000004</v>
      </c>
      <c r="X69" s="4">
        <v>4.93</v>
      </c>
      <c r="Y69" s="4">
        <v>5.19</v>
      </c>
      <c r="Z69" s="4">
        <v>5.27</v>
      </c>
      <c r="AA69" s="4">
        <v>5.2</v>
      </c>
      <c r="AB69" s="4">
        <v>5.53</v>
      </c>
      <c r="AC69" s="4">
        <v>5.6</v>
      </c>
      <c r="AD69" s="4">
        <v>5.52</v>
      </c>
      <c r="AE69" s="4">
        <v>5.3</v>
      </c>
      <c r="AF69" s="4">
        <v>5.0199999999999996</v>
      </c>
      <c r="AG69" s="4">
        <v>4.87</v>
      </c>
      <c r="AH69" s="4">
        <v>4.34</v>
      </c>
      <c r="AI69" s="4">
        <v>4.4000000000000004</v>
      </c>
      <c r="AJ69" s="4">
        <v>4.22</v>
      </c>
      <c r="AK69" s="4">
        <v>4.32</v>
      </c>
      <c r="AL69" s="4">
        <v>4.88</v>
      </c>
      <c r="AM69" s="4">
        <v>5.16</v>
      </c>
      <c r="AN69" s="4">
        <v>5.31</v>
      </c>
      <c r="AO69" s="4">
        <v>5.26</v>
      </c>
      <c r="AP69" s="4">
        <v>5.49</v>
      </c>
      <c r="AQ69" s="4">
        <v>5.85</v>
      </c>
      <c r="AR69" s="4">
        <v>5.58</v>
      </c>
      <c r="AS69" s="4">
        <v>5.97</v>
      </c>
      <c r="AT69" s="4">
        <v>6.43</v>
      </c>
      <c r="AU69" s="4">
        <v>6.51</v>
      </c>
      <c r="AV69" s="4">
        <v>6.26</v>
      </c>
      <c r="AW69" s="4">
        <v>6.28</v>
      </c>
      <c r="AX69" s="4">
        <v>6.29</v>
      </c>
      <c r="AY69" s="12">
        <v>6.65</v>
      </c>
      <c r="AZ69" s="12">
        <v>7.02</v>
      </c>
      <c r="BA69" s="12">
        <v>6.96</v>
      </c>
      <c r="BB69" s="18">
        <v>7</v>
      </c>
      <c r="BC69" s="63">
        <v>7.13</v>
      </c>
      <c r="BD69" s="63">
        <v>7.17</v>
      </c>
      <c r="BE69" s="63">
        <v>7.79</v>
      </c>
      <c r="BF69" s="63">
        <v>7.8</v>
      </c>
      <c r="BG69" s="91" cm="1">
        <f t="array" aca="1" ref="BG69" ca="1">_FV(EE69,"Preço")</f>
        <v>7.64</v>
      </c>
      <c r="BH69" s="93" t="s">
        <v>117</v>
      </c>
      <c r="BI69" s="32" cm="1">
        <f t="array" aca="1" ref="BI69" ca="1">_FV(EE69,"Beta")</f>
        <v>1.5411999999999999</v>
      </c>
      <c r="BJ69" s="96" cm="1">
        <f t="array" aca="1" ref="BJ69" ca="1">_FV(EE69,"Variação (%)",TRUE)</f>
        <v>-1.4194E-2</v>
      </c>
      <c r="BK69" s="49"/>
      <c r="BL69" s="49"/>
      <c r="BN69" s="32"/>
      <c r="BO69" s="20" cm="1">
        <f t="array" aca="1" ref="BO69" ca="1">_FV(EE69,"Baixo")</f>
        <v>7.61</v>
      </c>
      <c r="BP69" s="20" cm="1">
        <f t="array" aca="1" ref="BP69" ca="1">_FV(EE69,"Alto")</f>
        <v>7.77</v>
      </c>
      <c r="BQ69" s="32"/>
      <c r="BR69" s="71">
        <f ca="1">SQRT(22.5*(BG69/VLOOKUP(BH69,Fundamentus!A:U,3,FALSE))*(BG69/VLOOKUP(BH69,Fundamentus!A:U,4,FALSE)))</f>
        <v>12.734748383994292</v>
      </c>
      <c r="BT69" s="73">
        <f t="shared" ref="BT69:BT132" ca="1" si="99">(BG69 - BF69) / BF69</f>
        <v>-2.051282051282053E-2</v>
      </c>
      <c r="BU69" s="36">
        <f t="shared" ref="BU69:BU132" si="100">(BE69 - A69) / A69</f>
        <v>0.65392781316348192</v>
      </c>
      <c r="BV69" s="8"/>
      <c r="BW69" s="72">
        <f t="shared" ref="BW69:BW132" si="101">MIN(A69:BF69)</f>
        <v>4.22</v>
      </c>
      <c r="BX69" s="72">
        <f t="shared" ref="BX69:BX132" si="102">AVERAGE(A69:BF69)</f>
        <v>5.4017241379310343</v>
      </c>
      <c r="BY69" s="72">
        <f t="shared" ref="BY69:BY132" si="103">MAX(A69:BF69)</f>
        <v>7.8</v>
      </c>
      <c r="BZ69" s="17"/>
      <c r="CA69" s="17"/>
      <c r="CB69" s="43">
        <f t="shared" ref="CB69:CB132" si="104">CC69-DU69*2</f>
        <v>7.462148356825498</v>
      </c>
      <c r="CC69" s="18">
        <f t="shared" ref="CC69:CC132" si="105">FORECAST("13/06/2025", BC69:BF69, $BC$4:$BF$4)</f>
        <v>8.1078069353327464</v>
      </c>
      <c r="CD69" s="43">
        <f t="shared" ref="CD69:CD132" si="106">CC69+DU69*2</f>
        <v>8.7534655138399948</v>
      </c>
      <c r="CE69" s="98">
        <f t="shared" ref="CE69:CE132" ca="1" si="107">(BG69-CC69)/(CC69-CB69)</f>
        <v>-0.72454227498116486</v>
      </c>
      <c r="CF69" s="17"/>
      <c r="CG69" s="20">
        <f t="shared" ref="CG69:CG132" si="108">BW69-2*(BY69-CJ69)</f>
        <v>1.833333333333333</v>
      </c>
      <c r="CH69" s="20">
        <f t="shared" ref="CH69:CH132" si="109">CJ69-(BY69-BW69)</f>
        <v>3.0266666666666664</v>
      </c>
      <c r="CI69" s="20">
        <f t="shared" ref="CI69:CI132" si="110">2*CJ69-BY69</f>
        <v>5.4133333333333331</v>
      </c>
      <c r="CJ69" s="49">
        <f t="shared" ref="CJ69:CJ132" si="111">(BY69+BW69+BF69)/3</f>
        <v>6.6066666666666665</v>
      </c>
      <c r="CK69" s="20">
        <f t="shared" ref="CK69:CK132" si="112">2*CJ69-BW69</f>
        <v>8.9933333333333323</v>
      </c>
      <c r="CL69" s="20">
        <f t="shared" ref="CL69:CL132" si="113">CJ69+(BY69-BW69)</f>
        <v>10.186666666666667</v>
      </c>
      <c r="CM69" s="20">
        <f t="shared" ref="CM69:CM132" si="114">BY69+2*(CJ69-BW69)</f>
        <v>12.573333333333334</v>
      </c>
      <c r="CN69" s="2" cm="1">
        <f t="array" aca="1" ref="CN69" ca="1">MAX(_xlfn._xlws.FILTER(CG69:CM69,CG69:CM69&lt;BG69))</f>
        <v>6.6066666666666665</v>
      </c>
      <c r="CO69" s="2" cm="1">
        <f t="array" aca="1" ref="CO69" ca="1">MIN(_xlfn._xlws.FILTER($CG69:$CM69,$CG69:$CM69&gt;BG69))</f>
        <v>8.9933333333333323</v>
      </c>
      <c r="CP69" s="19">
        <f t="shared" ca="1" si="82"/>
        <v>0.36125126135216945</v>
      </c>
      <c r="CQ69" s="23">
        <f t="shared" ca="1" si="83"/>
        <v>-0.18062563067608473</v>
      </c>
      <c r="CR69" s="23">
        <f t="shared" ca="1" si="84"/>
        <v>-0.12041708711738981</v>
      </c>
      <c r="CS69" s="23">
        <f t="shared" ca="1" si="85"/>
        <v>-7.2250252270433885E-2</v>
      </c>
      <c r="CT69" s="23">
        <f t="shared" ca="1" si="86"/>
        <v>-4.0139029039129942E-2</v>
      </c>
      <c r="CU69" s="23">
        <f t="shared" ca="1" si="87"/>
        <v>-2.1250074197186438E-2</v>
      </c>
      <c r="CV69" s="23">
        <f t="shared" ca="1" si="88"/>
        <v>-1.094700791976271E-2</v>
      </c>
      <c r="CW69" s="23">
        <f t="shared" ca="1" si="89"/>
        <v>-5.557711713110299E-3</v>
      </c>
      <c r="CX69" s="24">
        <f t="shared" ca="1" si="90"/>
        <v>5.557711713110299E-3</v>
      </c>
      <c r="CY69" s="24">
        <f t="shared" ca="1" si="91"/>
        <v>1.094700791976271E-2</v>
      </c>
      <c r="CZ69" s="24">
        <f t="shared" ca="1" si="92"/>
        <v>2.1250074197186438E-2</v>
      </c>
      <c r="DA69" s="24">
        <f t="shared" ca="1" si="93"/>
        <v>4.0139029039129942E-2</v>
      </c>
      <c r="DB69" s="24">
        <f t="shared" ca="1" si="94"/>
        <v>7.2250252270433885E-2</v>
      </c>
      <c r="DC69" s="24">
        <f t="shared" ca="1" si="95"/>
        <v>0.12041708711738981</v>
      </c>
      <c r="DD69" s="24">
        <f t="shared" ca="1" si="96"/>
        <v>0.18062563067608473</v>
      </c>
      <c r="DF69" s="29" cm="1">
        <f t="array" aca="1" ref="DF69" ca="1">MAX(_xlfn._xlws.FILTER(CQ69:DD69,CQ69:DD69&lt;BJ69))</f>
        <v>-2.1250074197186438E-2</v>
      </c>
      <c r="DG69" s="29" cm="1">
        <f t="array" aca="1" ref="DG69" ca="1">MIN(_xlfn._xlws.FILTER(CQ69:DD69,CQ69:DD69&gt;BJ69))</f>
        <v>-1.094700791976271E-2</v>
      </c>
      <c r="DH69" s="2" cm="1">
        <f t="array" aca="1" ref="DH69" ca="1">_FV(EE69,"Fechamento anterior",TRUE)</f>
        <v>7.75</v>
      </c>
      <c r="DI69" s="36">
        <f t="shared" ref="DI69:DI132" ca="1" si="115">(BG69-DJ69)/(DK69-DJ69)</f>
        <v>0.6848957019282732</v>
      </c>
      <c r="DJ69" s="18">
        <f t="shared" ca="1" si="97"/>
        <v>7.5853119249718048</v>
      </c>
      <c r="DK69" s="18">
        <f t="shared" ca="1" si="98"/>
        <v>7.6651606886218389</v>
      </c>
      <c r="DL69" s="9"/>
      <c r="DM69" s="9"/>
      <c r="DN69" s="9"/>
      <c r="DO69" s="9"/>
      <c r="DP69" s="79">
        <v>7.8116269398537733E-3</v>
      </c>
      <c r="DQ69" s="79">
        <v>4.7741799426111288E-3</v>
      </c>
      <c r="DR69" s="79">
        <v>1.6767219708396158E-2</v>
      </c>
      <c r="DS69" s="79">
        <f t="shared" ref="DS69:DS132" ca="1" si="116">DG69-DF69</f>
        <v>1.0303066277423728E-2</v>
      </c>
      <c r="DT69" s="47"/>
      <c r="DU69" s="43">
        <f t="shared" ref="DU69:DU132" si="117">_xlfn.STDEV.P(BC69:BF69)</f>
        <v>0.32282928925362397</v>
      </c>
      <c r="DV69" s="83">
        <f t="shared" ref="DV69:DV132" ca="1" si="118">BI69-$DP$2</f>
        <v>1.9672999999999998</v>
      </c>
      <c r="DW69" s="83">
        <f t="shared" ref="DW69:DW132" ca="1" si="119">BI69-BJ69*100</f>
        <v>2.9605999999999999</v>
      </c>
      <c r="DX69" s="83">
        <f t="shared" ref="DX69:DX132" ca="1" si="120">DV69-DW69</f>
        <v>-0.99330000000000007</v>
      </c>
      <c r="DY69" s="67"/>
      <c r="DZ69" s="67"/>
      <c r="EA69" s="85"/>
      <c r="EB69" s="44">
        <v>723400</v>
      </c>
      <c r="EC69" s="44" cm="1">
        <f t="array" aca="1" ref="EC69" ca="1">_FV(EE69,"Volume")</f>
        <v>794400</v>
      </c>
      <c r="EE69" s="2" t="e" vm="69">
        <v>#VALUE!</v>
      </c>
      <c r="EG69" s="10" cm="1">
        <f t="array" aca="1" ref="EG69" ca="1">_FV(EE69,"Ações em circulação",TRUE)</f>
        <v>186617500</v>
      </c>
      <c r="EH69" s="21">
        <f>VLOOKUP(BH69,Fundamentus!A:U,5,FALSE)</f>
        <v>1.133</v>
      </c>
      <c r="EI69" s="2">
        <f t="shared" ref="EI69:EI132" ca="1" si="121">(BG69*EG69)/EH69</f>
        <v>1258391615.1809356</v>
      </c>
      <c r="EJ69" s="20">
        <v>182305367.47572815</v>
      </c>
      <c r="EK69" s="20">
        <f t="shared" ref="EK69:EK132" ca="1" si="122">EI69*EV69</f>
        <v>178565770.19417477</v>
      </c>
      <c r="EM69" s="40" t="str">
        <f>IF(VLOOKUP(BH69,Fundamentus!A:U,3,FALSE)&lt;15,"Bom",IF(VLOOKUP(BH69,Fundamentus!A:U,3,FALSE)&gt;15,"Ruim","n/a"))</f>
        <v>Bom</v>
      </c>
      <c r="EN69" s="66" t="str">
        <f>IF(VLOOKUP(BH69,Fundamentus!A:U,4,FALSE)&lt;1,"Baixo",IF(VLOOKUP(BH69,Fundamentus!A:U,4,FALSE)&lt;1.5,"Moderado",IF(VLOOKUP(BH69,Fundamentus!A:U,4,FALSE)&gt;1.5,"Alto","n/a")))</f>
        <v>Baixo</v>
      </c>
      <c r="EO69" s="20" t="str">
        <f>IF(VLOOKUP(BH69,Fundamentus!A:U,8,FALSE)&lt;0,"Risco elevado",IF(VLOOKUP(BH69,Fundamentus!A:U,8,FALSE)&lt;1,"Saudável",IF(VLOOKUP(BH69,Fundamentus!A:U,8,FALSE)&lt;3,"Estável",IF(VLOOKUP(BH69,Fundamentus!A:U,8,FALSE)&gt;3,"Alerta","n/a"))))</f>
        <v>Saudável</v>
      </c>
      <c r="EP69" s="36" t="str">
        <f t="shared" ref="EP69:EP132" si="123">IF(EH69&gt;1,"Bom","Ruim")</f>
        <v>Bom</v>
      </c>
      <c r="EQ69" s="20" t="str">
        <f>IF(VLOOKUP(BH69,Fundamentus!A:U,12,FALSE)&lt;2,"Subvalorizada",IF(VLOOKUP(BH69,Fundamentus!A:U,12,FALSE)&lt;6,"Muita barata",IF(VLOOKUP(BH69,Fundamentus!A:U,12,FALSE)&lt;6,"Barata",IF(VLOOKUP(BH69,Fundamentus!A:U,12,FALSE)&lt;8,"Atrativa",IF(VLOOKUP(BH69,Fundamentus!A:U,12,FALSE)&gt;8,"Supervalorizada","n/a")))))</f>
        <v>Supervalorizada</v>
      </c>
      <c r="ES69" s="20" t="str">
        <f>IF(VLOOKUP(BH69,Fundamentus!A:U,17,FALSE)&lt;0.1,"Fraco retorno",IF(VLOOKUP(BH69,Fundamentus!A:U,17,FALSE)&gt;0.1,"Bom retorno","n/a"))</f>
        <v>Bom retorno</v>
      </c>
      <c r="ET69" s="64" t="str">
        <f>IF(VLOOKUP(BH69,Fundamentus!A:U,16,FALSE)&lt;0.1,"Ineficiente",IF(VLOOKUP(BH69,Fundamentus!A:U,16,FALSE)&gt;0.1,"Eficiente","n/a"))</f>
        <v>Ineficiente</v>
      </c>
      <c r="EU69" s="65" t="str">
        <f>IF(VLOOKUP(BH69,Fundamentus!A:U,16,FALSE)&lt;0.1,"Oper. Ineficiente",IF(VLOOKUP(BH69,Fundamentus!A:U,16,FALSE)&gt;0.1,"Oper.Eficiente","n/a"))</f>
        <v>Oper. Ineficiente</v>
      </c>
      <c r="EV69" s="42">
        <f>VLOOKUP(BH69,Fundamentus!A:U,14,FALSE)</f>
        <v>0.1419</v>
      </c>
      <c r="EW69" s="20" t="str">
        <f>IF(VLOOKUP(BH69,Fundamentus!A:U,21,FALSE)&lt;0,"Negativo",IF(VLOOKUP(BH69,Fundamentus!A:U,21,FALSE)&lt;0.05,"Fraco",IF(VLOOKUP(BH69,Fundamentus!A:U,21,FALSE)&lt;0.1,"Bom",IF(VLOOKUP(BH69,Fundamentus!A:U,21,FALSE)&gt;0.1,"Muito bom","n/a"))))</f>
        <v>Muito bom</v>
      </c>
      <c r="EY69" s="37" t="str">
        <f>IF(VLOOKUP(BH69,Fundamentus!A:U,15,FALSE)&gt;1,"Bom",IF(VLOOKUP(BH69,Fundamentus!A:U,15,FALSE)&lt;1,"Ruim","n/a"))</f>
        <v>Bom</v>
      </c>
      <c r="EZ69" s="20" t="str">
        <f>IF(VLOOKUP(BH69,Fundamentus!A:U,20,FALSE)&lt;0.5,"Baixa",IF(VLOOKUP(BH69,Fundamentus!A:U,20,FALSE)&lt;1,"Moderada",IF(VLOOKUP(BH69,Fundamentus!A:U,20,FALSE)&lt;2,"Alerta",IF(VLOOKUP(BH69,Fundamentus!A:U,20,FALSE)&gt;2,"Alta","n/a"))))</f>
        <v>Moderada</v>
      </c>
      <c r="FA69" s="10"/>
    </row>
    <row r="70" spans="1:157" s="2" customFormat="1" ht="11.25" hidden="1" x14ac:dyDescent="0.2">
      <c r="A70" s="4">
        <v>26.12</v>
      </c>
      <c r="B70" s="4">
        <v>25.86</v>
      </c>
      <c r="C70" s="4">
        <v>25.74</v>
      </c>
      <c r="D70" s="4">
        <v>24.47</v>
      </c>
      <c r="E70" s="4">
        <v>24.16</v>
      </c>
      <c r="F70" s="4">
        <v>23.41</v>
      </c>
      <c r="G70" s="4">
        <v>23.29</v>
      </c>
      <c r="H70" s="4">
        <v>23.88</v>
      </c>
      <c r="I70" s="4">
        <v>24.44</v>
      </c>
      <c r="J70" s="4">
        <v>25.64</v>
      </c>
      <c r="K70" s="4">
        <v>25.99</v>
      </c>
      <c r="L70" s="4">
        <v>24.18</v>
      </c>
      <c r="M70" s="4">
        <v>24.82</v>
      </c>
      <c r="N70" s="4">
        <v>24.3</v>
      </c>
      <c r="O70" s="4">
        <v>24.98</v>
      </c>
      <c r="P70" s="4">
        <v>25</v>
      </c>
      <c r="Q70" s="4">
        <v>26.19</v>
      </c>
      <c r="R70" s="4">
        <v>26.25</v>
      </c>
      <c r="S70" s="4">
        <v>27.5</v>
      </c>
      <c r="T70" s="4">
        <v>28.25</v>
      </c>
      <c r="U70" s="4">
        <v>26.75</v>
      </c>
      <c r="V70" s="4">
        <v>26.85</v>
      </c>
      <c r="W70" s="4">
        <v>25.76</v>
      </c>
      <c r="X70" s="4">
        <v>26</v>
      </c>
      <c r="Y70" s="4">
        <v>27.76</v>
      </c>
      <c r="Z70" s="4">
        <v>29.05</v>
      </c>
      <c r="AA70" s="4">
        <v>29.36</v>
      </c>
      <c r="AB70" s="4">
        <v>31.09</v>
      </c>
      <c r="AC70" s="4">
        <v>31.32</v>
      </c>
      <c r="AD70" s="4">
        <v>31.35</v>
      </c>
      <c r="AE70" s="4">
        <v>30.6</v>
      </c>
      <c r="AF70" s="4">
        <v>31.71</v>
      </c>
      <c r="AG70" s="4">
        <v>31.11</v>
      </c>
      <c r="AH70" s="4">
        <v>29.45</v>
      </c>
      <c r="AI70" s="4">
        <v>29.4</v>
      </c>
      <c r="AJ70" s="4">
        <v>27.71</v>
      </c>
      <c r="AK70" s="4">
        <v>28.04</v>
      </c>
      <c r="AL70" s="4">
        <v>28.7</v>
      </c>
      <c r="AM70" s="4">
        <v>29.15</v>
      </c>
      <c r="AN70" s="4">
        <v>30.18</v>
      </c>
      <c r="AO70" s="4">
        <v>29.94</v>
      </c>
      <c r="AP70" s="4">
        <v>32.33</v>
      </c>
      <c r="AQ70" s="4">
        <v>33.01</v>
      </c>
      <c r="AR70" s="4">
        <v>32.299999999999997</v>
      </c>
      <c r="AS70" s="4">
        <v>33.729999999999997</v>
      </c>
      <c r="AT70" s="4">
        <v>34.49</v>
      </c>
      <c r="AU70" s="4">
        <v>35.049999999999997</v>
      </c>
      <c r="AV70" s="4">
        <v>33.39</v>
      </c>
      <c r="AW70" s="4">
        <v>33.89</v>
      </c>
      <c r="AX70" s="4">
        <v>34.14</v>
      </c>
      <c r="AY70" s="12">
        <v>34.909999999999997</v>
      </c>
      <c r="AZ70" s="12">
        <v>36.31</v>
      </c>
      <c r="BA70" s="12">
        <v>35.659999999999997</v>
      </c>
      <c r="BB70" s="18">
        <v>34.33</v>
      </c>
      <c r="BC70" s="63">
        <v>34.22</v>
      </c>
      <c r="BD70" s="63">
        <v>35.4</v>
      </c>
      <c r="BE70" s="63">
        <v>36.729999999999997</v>
      </c>
      <c r="BF70" s="63">
        <v>35.85</v>
      </c>
      <c r="BG70" s="91" cm="1">
        <f t="array" aca="1" ref="BG70" ca="1">_FV(EE70,"Preço")</f>
        <v>36.4</v>
      </c>
      <c r="BH70" s="93" t="s">
        <v>68</v>
      </c>
      <c r="BI70" s="32" cm="1">
        <f t="array" aca="1" ref="BI70" ca="1">_FV(EE70,"Beta")</f>
        <v>1.171</v>
      </c>
      <c r="BJ70" s="96" cm="1">
        <f t="array" aca="1" ref="BJ70" ca="1">_FV(EE70,"Variação (%)",TRUE)</f>
        <v>-1.3015000000000001E-2</v>
      </c>
      <c r="BK70" s="49"/>
      <c r="BL70" s="49"/>
      <c r="BN70" s="32"/>
      <c r="BO70" s="20" cm="1">
        <f t="array" aca="1" ref="BO70" ca="1">_FV(EE70,"Baixo")</f>
        <v>36.4</v>
      </c>
      <c r="BP70" s="20" cm="1">
        <f t="array" aca="1" ref="BP70" ca="1">_FV(EE70,"Alto")</f>
        <v>36.880000000000003</v>
      </c>
      <c r="BQ70" s="32"/>
      <c r="BR70" s="74">
        <f ca="1">SQRT(22.5*(BG70/VLOOKUP(BH70,Fundamentus!A:U,3,FALSE))*(BG70/VLOOKUP(BH70,Fundamentus!A:U,4,FALSE)))</f>
        <v>36.979786196731354</v>
      </c>
      <c r="BT70" s="73">
        <f t="shared" ca="1" si="99"/>
        <v>1.5341701534170074E-2</v>
      </c>
      <c r="BU70" s="36">
        <f t="shared" si="100"/>
        <v>0.40620214395099524</v>
      </c>
      <c r="BV70" s="8"/>
      <c r="BW70" s="72">
        <f t="shared" si="101"/>
        <v>23.29</v>
      </c>
      <c r="BX70" s="72">
        <f t="shared" si="102"/>
        <v>29.336034482758631</v>
      </c>
      <c r="BY70" s="72">
        <f t="shared" si="103"/>
        <v>36.729999999999997</v>
      </c>
      <c r="BZ70" s="17"/>
      <c r="CA70" s="17"/>
      <c r="CB70" s="43">
        <f t="shared" si="104"/>
        <v>35.27774887273106</v>
      </c>
      <c r="CC70" s="18">
        <f t="shared" si="105"/>
        <v>37.087113402061732</v>
      </c>
      <c r="CD70" s="43">
        <f t="shared" si="106"/>
        <v>38.896477931392404</v>
      </c>
      <c r="CE70" s="98">
        <f t="shared" ca="1" si="107"/>
        <v>-0.37975399148335975</v>
      </c>
      <c r="CF70" s="17"/>
      <c r="CG70" s="20">
        <f t="shared" si="108"/>
        <v>13.743333333333339</v>
      </c>
      <c r="CH70" s="20">
        <f t="shared" si="109"/>
        <v>18.516666666666669</v>
      </c>
      <c r="CI70" s="20">
        <f t="shared" si="110"/>
        <v>27.183333333333337</v>
      </c>
      <c r="CJ70" s="49">
        <f t="shared" si="111"/>
        <v>31.956666666666667</v>
      </c>
      <c r="CK70" s="20">
        <f t="shared" si="112"/>
        <v>40.623333333333335</v>
      </c>
      <c r="CL70" s="20">
        <f t="shared" si="113"/>
        <v>45.396666666666661</v>
      </c>
      <c r="CM70" s="20">
        <f t="shared" si="114"/>
        <v>54.063333333333333</v>
      </c>
      <c r="CN70" s="2" cm="1">
        <f t="array" aca="1" ref="CN70" ca="1">MAX(_xlfn._xlws.FILTER(CG70:CM70,CG70:CM70&lt;BG70))</f>
        <v>31.956666666666667</v>
      </c>
      <c r="CO70" s="2" cm="1">
        <f t="array" aca="1" ref="CO70" ca="1">MIN(_xlfn._xlws.FILTER($CG70:$CM70,$CG70:$CM70&gt;BG70))</f>
        <v>40.623333333333335</v>
      </c>
      <c r="CP70" s="19">
        <f t="shared" ca="1" si="82"/>
        <v>0.27120058412433501</v>
      </c>
      <c r="CQ70" s="23">
        <f t="shared" ca="1" si="83"/>
        <v>-0.1356002920621675</v>
      </c>
      <c r="CR70" s="23">
        <f t="shared" ca="1" si="84"/>
        <v>-9.040019470811167E-2</v>
      </c>
      <c r="CS70" s="23">
        <f t="shared" ca="1" si="85"/>
        <v>-5.4240116824866999E-2</v>
      </c>
      <c r="CT70" s="23">
        <f t="shared" ca="1" si="86"/>
        <v>-3.0133398236037223E-2</v>
      </c>
      <c r="CU70" s="23">
        <f t="shared" ca="1" si="87"/>
        <v>-1.5952975536725589E-2</v>
      </c>
      <c r="CV70" s="23">
        <f t="shared" ca="1" si="88"/>
        <v>-8.2181995189192433E-3</v>
      </c>
      <c r="CW70" s="23">
        <f t="shared" ca="1" si="89"/>
        <v>-4.1723166788359229E-3</v>
      </c>
      <c r="CX70" s="24">
        <f t="shared" ca="1" si="90"/>
        <v>4.1723166788359229E-3</v>
      </c>
      <c r="CY70" s="24">
        <f t="shared" ca="1" si="91"/>
        <v>8.2181995189192433E-3</v>
      </c>
      <c r="CZ70" s="24">
        <f t="shared" ca="1" si="92"/>
        <v>1.5952975536725589E-2</v>
      </c>
      <c r="DA70" s="24">
        <f t="shared" ca="1" si="93"/>
        <v>3.0133398236037223E-2</v>
      </c>
      <c r="DB70" s="24">
        <f t="shared" ca="1" si="94"/>
        <v>5.4240116824866999E-2</v>
      </c>
      <c r="DC70" s="24">
        <f t="shared" ca="1" si="95"/>
        <v>9.040019470811167E-2</v>
      </c>
      <c r="DD70" s="24">
        <f t="shared" ca="1" si="96"/>
        <v>0.1356002920621675</v>
      </c>
      <c r="DF70" s="19" cm="1">
        <f t="array" aca="1" ref="DF70" ca="1">MAX(_xlfn._xlws.FILTER(CQ70:DD70,CQ70:DD70&lt;BJ70))</f>
        <v>-1.5952975536725589E-2</v>
      </c>
      <c r="DG70" s="19" cm="1">
        <f t="array" aca="1" ref="DG70" ca="1">MIN(_xlfn._xlws.FILTER(CQ70:DD70,CQ70:DD70&gt;BJ70))</f>
        <v>-8.2181995189192433E-3</v>
      </c>
      <c r="DH70" s="2" cm="1">
        <f t="array" aca="1" ref="DH70" ca="1">_FV(EE70,"Fechamento anterior",TRUE)</f>
        <v>36.880000000000003</v>
      </c>
      <c r="DI70" s="36">
        <f t="shared" ca="1" si="115"/>
        <v>0.37981593108625683</v>
      </c>
      <c r="DJ70" s="18">
        <f t="shared" ca="1" si="97"/>
        <v>36.291654262205562</v>
      </c>
      <c r="DK70" s="18">
        <f t="shared" ca="1" si="98"/>
        <v>36.57691280174226</v>
      </c>
      <c r="DL70" s="9"/>
      <c r="DM70" s="9"/>
      <c r="DN70" s="9"/>
      <c r="DO70" s="9"/>
      <c r="DP70" s="78">
        <v>7.0311494157117849E-3</v>
      </c>
      <c r="DQ70" s="78">
        <v>6.6977639250567541E-3</v>
      </c>
      <c r="DR70" s="78">
        <v>1.2279233862604049E-2</v>
      </c>
      <c r="DS70" s="78">
        <f t="shared" ca="1" si="116"/>
        <v>7.7347760178063454E-3</v>
      </c>
      <c r="DT70" s="47"/>
      <c r="DU70" s="43">
        <f t="shared" si="117"/>
        <v>0.90468226466533497</v>
      </c>
      <c r="DV70" s="83">
        <f t="shared" ca="1" si="118"/>
        <v>1.5971</v>
      </c>
      <c r="DW70" s="83">
        <f t="shared" ca="1" si="119"/>
        <v>2.4725000000000001</v>
      </c>
      <c r="DX70" s="83">
        <f t="shared" ca="1" si="120"/>
        <v>-0.87540000000000018</v>
      </c>
      <c r="DY70" s="67"/>
      <c r="DZ70" s="67"/>
      <c r="EA70" s="85"/>
      <c r="EB70" s="44">
        <v>340400</v>
      </c>
      <c r="EC70" s="44" cm="1">
        <f t="array" aca="1" ref="EC70" ca="1">_FV(EE70,"Volume")</f>
        <v>140100</v>
      </c>
      <c r="EE70" s="2" t="e" vm="70">
        <v>#VALUE!</v>
      </c>
      <c r="EG70" s="10" cm="1">
        <f t="array" aca="1" ref="EG70" ca="1">_FV(EE70,"Ações em circulação",TRUE)</f>
        <v>66002920</v>
      </c>
      <c r="EH70" s="21">
        <f>VLOOKUP(BH70,Fundamentus!A:U,5,FALSE)</f>
        <v>1.125</v>
      </c>
      <c r="EI70" s="2">
        <f t="shared" ca="1" si="121"/>
        <v>2135561144.8888888</v>
      </c>
      <c r="EJ70" s="20">
        <v>271955791.45120001</v>
      </c>
      <c r="EK70" s="20">
        <f t="shared" ca="1" si="122"/>
        <v>276128056.03413332</v>
      </c>
      <c r="EM70" s="56" t="str">
        <f>IF(VLOOKUP(BH70,Fundamentus!A:U,3,FALSE)&lt;15,"Bom",IF(VLOOKUP(BH70,Fundamentus!A:U,3,FALSE)&gt;15,"Ruim","n/a"))</f>
        <v>Bom</v>
      </c>
      <c r="EN70" s="57" t="str">
        <f>IF(VLOOKUP(BH70,Fundamentus!A:U,4,FALSE)&lt;1,"Baixo",IF(VLOOKUP(BH70,Fundamentus!A:U,4,FALSE)&lt;1.5,"Moderado",IF(VLOOKUP(BH70,Fundamentus!A:U,4,FALSE)&gt;1.5,"Alto","n/a")))</f>
        <v>Alto</v>
      </c>
      <c r="EO70" s="38" t="str">
        <f>IF(VLOOKUP(BH70,Fundamentus!A:U,8,FALSE)&lt;0,"Risco elevado",IF(VLOOKUP(BH70,Fundamentus!A:U,8,FALSE)&lt;1,"Saudável",IF(VLOOKUP(BH70,Fundamentus!A:U,8,FALSE)&lt;3,"Estável",IF(VLOOKUP(BH70,Fundamentus!A:U,8,FALSE)&gt;3,"Alerta","n/a"))))</f>
        <v>Alerta</v>
      </c>
      <c r="EP70" s="57" t="str">
        <f t="shared" si="123"/>
        <v>Bom</v>
      </c>
      <c r="EQ70" s="38" t="str">
        <f>IF(VLOOKUP(BH70,Fundamentus!A:U,12,FALSE)&lt;2,"Subvalorizada",IF(VLOOKUP(BH70,Fundamentus!A:U,12,FALSE)&lt;6,"Muita barata",IF(VLOOKUP(BH70,Fundamentus!A:U,12,FALSE)&lt;6,"Barata",IF(VLOOKUP(BH70,Fundamentus!A:U,12,FALSE)&lt;8,"Atrativa",IF(VLOOKUP(BH70,Fundamentus!A:U,12,FALSE)&gt;8,"Supervalorizada","n/a")))))</f>
        <v>Muita barata</v>
      </c>
      <c r="ES70" s="38" t="str">
        <f>IF(VLOOKUP(BH70,Fundamentus!A:U,17,FALSE)&lt;0.1,"Fraco retorno",IF(VLOOKUP(BH70,Fundamentus!A:U,17,FALSE)&gt;0.1,"Bom retorno","n/a"))</f>
        <v>Bom retorno</v>
      </c>
      <c r="ET70" s="38" t="str">
        <f>IF(VLOOKUP(BH70,Fundamentus!A:U,16,FALSE)&lt;0.1,"Ineficiente",IF(VLOOKUP(BH70,Fundamentus!A:U,16,FALSE)&gt;0.1,"Eficiente","n/a"))</f>
        <v>Eficiente</v>
      </c>
      <c r="EU70" s="60" t="str">
        <f>IF(VLOOKUP(BH70,Fundamentus!A:U,16,FALSE)&lt;0.1,"Oper. Ineficiente",IF(VLOOKUP(BH70,Fundamentus!A:U,16,FALSE)&gt;0.1,"Oper.Eficiente","n/a"))</f>
        <v>Oper.Eficiente</v>
      </c>
      <c r="EV70" s="59">
        <f>VLOOKUP(BH70,Fundamentus!A:U,14,FALSE)</f>
        <v>0.1293</v>
      </c>
      <c r="EW70" s="38" t="str">
        <f>IF(VLOOKUP(BH70,Fundamentus!A:U,21,FALSE)&lt;0,"Negativo",IF(VLOOKUP(BH70,Fundamentus!A:U,21,FALSE)&lt;0.05,"Fraco",IF(VLOOKUP(BH70,Fundamentus!A:U,21,FALSE)&lt;0.1,"Bom",IF(VLOOKUP(BH70,Fundamentus!A:U,21,FALSE)&gt;0.1,"Muito bom","n/a"))))</f>
        <v>Muito bom</v>
      </c>
      <c r="EY70" s="39" t="str">
        <f>IF(VLOOKUP(BH70,Fundamentus!A:U,15,FALSE)&gt;1,"Bom",IF(VLOOKUP(BH70,Fundamentus!A:U,15,FALSE)&lt;1,"Ruim","n/a"))</f>
        <v>Bom</v>
      </c>
      <c r="EZ70" s="38" t="str">
        <f>IF(VLOOKUP(BH70,Fundamentus!A:U,20,FALSE)&lt;0.5,"Baixa",IF(VLOOKUP(BH70,Fundamentus!A:U,20,FALSE)&lt;1,"Moderada",IF(VLOOKUP(BH70,Fundamentus!A:U,20,FALSE)&lt;2,"Alerta",IF(VLOOKUP(BH70,Fundamentus!A:U,20,FALSE)&gt;2,"Alta","n/a"))))</f>
        <v>Baixa</v>
      </c>
      <c r="FA70" s="10"/>
    </row>
    <row r="71" spans="1:157" s="2" customFormat="1" ht="11.25" hidden="1" x14ac:dyDescent="0.2">
      <c r="A71" s="4">
        <v>6.85</v>
      </c>
      <c r="B71" s="4">
        <v>6.92</v>
      </c>
      <c r="C71" s="4">
        <v>6.85</v>
      </c>
      <c r="D71" s="4">
        <v>6.86</v>
      </c>
      <c r="E71" s="4">
        <v>6.82</v>
      </c>
      <c r="F71" s="4">
        <v>6.7</v>
      </c>
      <c r="G71" s="4">
        <v>6.71</v>
      </c>
      <c r="H71" s="4">
        <v>6.67</v>
      </c>
      <c r="I71" s="4">
        <v>6.64</v>
      </c>
      <c r="J71" s="4">
        <v>6.98</v>
      </c>
      <c r="K71" s="4">
        <v>6.99</v>
      </c>
      <c r="L71" s="4">
        <v>6.91</v>
      </c>
      <c r="M71" s="4">
        <v>6.95</v>
      </c>
      <c r="N71" s="4">
        <v>6.97</v>
      </c>
      <c r="O71" s="4">
        <v>6.85</v>
      </c>
      <c r="P71" s="4">
        <v>6.82</v>
      </c>
      <c r="Q71" s="4">
        <v>6.95</v>
      </c>
      <c r="R71" s="4">
        <v>7</v>
      </c>
      <c r="S71" s="4">
        <v>6.97</v>
      </c>
      <c r="T71" s="4">
        <v>6.92</v>
      </c>
      <c r="U71" s="4">
        <v>6.97</v>
      </c>
      <c r="V71" s="4">
        <v>6.87</v>
      </c>
      <c r="W71" s="4">
        <v>6.93</v>
      </c>
      <c r="X71" s="4">
        <v>6.87</v>
      </c>
      <c r="Y71" s="4">
        <v>6.91</v>
      </c>
      <c r="Z71" s="4">
        <v>6.74</v>
      </c>
      <c r="AA71" s="4">
        <v>6.83</v>
      </c>
      <c r="AB71" s="4">
        <v>6.79</v>
      </c>
      <c r="AC71" s="4">
        <v>6.71</v>
      </c>
      <c r="AD71" s="4">
        <v>6.56</v>
      </c>
      <c r="AE71" s="4">
        <v>6.57</v>
      </c>
      <c r="AF71" s="4">
        <v>6.46</v>
      </c>
      <c r="AG71" s="4">
        <v>6.39</v>
      </c>
      <c r="AH71" s="4">
        <v>6.24</v>
      </c>
      <c r="AI71" s="4">
        <v>6.27</v>
      </c>
      <c r="AJ71" s="4">
        <v>6.28</v>
      </c>
      <c r="AK71" s="4">
        <v>6.27</v>
      </c>
      <c r="AL71" s="4">
        <v>6.33</v>
      </c>
      <c r="AM71" s="4">
        <v>6.32</v>
      </c>
      <c r="AN71" s="4">
        <v>6.57</v>
      </c>
      <c r="AO71" s="4">
        <v>6.38</v>
      </c>
      <c r="AP71" s="4">
        <v>6.4</v>
      </c>
      <c r="AQ71" s="4">
        <v>6.65</v>
      </c>
      <c r="AR71" s="4">
        <v>6.51</v>
      </c>
      <c r="AS71" s="4">
        <v>6.53</v>
      </c>
      <c r="AT71" s="4">
        <v>6.59</v>
      </c>
      <c r="AU71" s="4">
        <v>6.67</v>
      </c>
      <c r="AV71" s="4">
        <v>6.7</v>
      </c>
      <c r="AW71" s="4">
        <v>6.66</v>
      </c>
      <c r="AX71" s="4">
        <v>6.46</v>
      </c>
      <c r="AY71" s="12">
        <v>6.5</v>
      </c>
      <c r="AZ71" s="12">
        <v>6.5</v>
      </c>
      <c r="BA71" s="12">
        <v>6.52</v>
      </c>
      <c r="BB71" s="18">
        <v>6.51</v>
      </c>
      <c r="BC71" s="63">
        <v>6.66</v>
      </c>
      <c r="BD71" s="63">
        <v>6.65</v>
      </c>
      <c r="BE71" s="63">
        <v>6.8</v>
      </c>
      <c r="BF71" s="63">
        <v>6.79</v>
      </c>
      <c r="BG71" s="91" cm="1">
        <f t="array" aca="1" ref="BG71" ca="1">_FV(EE71,"Preço")</f>
        <v>6.82</v>
      </c>
      <c r="BH71" s="93" t="s">
        <v>69</v>
      </c>
      <c r="BI71" s="32" cm="1">
        <f t="array" aca="1" ref="BI71" ca="1">_FV(EE71,"Beta")</f>
        <v>0.21329999999999999</v>
      </c>
      <c r="BJ71" s="96" cm="1">
        <f t="array" aca="1" ref="BJ71" ca="1">_FV(EE71,"Variação (%)",TRUE)</f>
        <v>-1.464E-3</v>
      </c>
      <c r="BK71" s="49"/>
      <c r="BL71" s="49"/>
      <c r="BN71" s="32"/>
      <c r="BO71" s="20" cm="1">
        <f t="array" aca="1" ref="BO71" ca="1">_FV(EE71,"Baixo")</f>
        <v>6.66</v>
      </c>
      <c r="BP71" s="20" cm="1">
        <f t="array" aca="1" ref="BP71" ca="1">_FV(EE71,"Alto")</f>
        <v>6.83</v>
      </c>
      <c r="BQ71" s="32"/>
      <c r="BR71" s="74">
        <f ca="1">SQRT(22.5*(BG71/VLOOKUP(BH71,Fundamentus!A:U,3,FALSE))*(BG71/VLOOKUP(BH71,Fundamentus!A:U,4,FALSE)))</f>
        <v>5.2972837814038964</v>
      </c>
      <c r="BT71" s="73">
        <f t="shared" ca="1" si="99"/>
        <v>4.4182621502209495E-3</v>
      </c>
      <c r="BU71" s="36">
        <f t="shared" si="100"/>
        <v>-7.2992700729926753E-3</v>
      </c>
      <c r="BV71" s="8"/>
      <c r="BW71" s="72">
        <f t="shared" si="101"/>
        <v>6.24</v>
      </c>
      <c r="BX71" s="72">
        <f t="shared" si="102"/>
        <v>6.6843103448275851</v>
      </c>
      <c r="BY71" s="72">
        <f t="shared" si="103"/>
        <v>7</v>
      </c>
      <c r="BZ71" s="17"/>
      <c r="CA71" s="17"/>
      <c r="CB71" s="43">
        <f t="shared" si="104"/>
        <v>6.7147323462004849</v>
      </c>
      <c r="CC71" s="18">
        <f t="shared" si="105"/>
        <v>6.8550890346766664</v>
      </c>
      <c r="CD71" s="43">
        <f t="shared" si="106"/>
        <v>6.995445723152848</v>
      </c>
      <c r="CE71" s="98">
        <f t="shared" ca="1" si="107"/>
        <v>-0.24999902076359348</v>
      </c>
      <c r="CF71" s="17"/>
      <c r="CG71" s="20">
        <f t="shared" si="108"/>
        <v>5.5933333333333337</v>
      </c>
      <c r="CH71" s="20">
        <f t="shared" si="109"/>
        <v>5.916666666666667</v>
      </c>
      <c r="CI71" s="20">
        <f t="shared" si="110"/>
        <v>6.3533333333333335</v>
      </c>
      <c r="CJ71" s="49">
        <f t="shared" si="111"/>
        <v>6.6766666666666667</v>
      </c>
      <c r="CK71" s="20">
        <f t="shared" si="112"/>
        <v>7.1133333333333333</v>
      </c>
      <c r="CL71" s="20">
        <f t="shared" si="113"/>
        <v>7.4366666666666665</v>
      </c>
      <c r="CM71" s="20">
        <f t="shared" si="114"/>
        <v>7.8733333333333331</v>
      </c>
      <c r="CN71" s="2" cm="1">
        <f t="array" aca="1" ref="CN71" ca="1">MAX(_xlfn._xlws.FILTER(CG71:CM71,CG71:CM71&lt;BG71))</f>
        <v>6.6766666666666667</v>
      </c>
      <c r="CO71" s="2" cm="1">
        <f t="array" aca="1" ref="CO71" ca="1">MIN(_xlfn._xlws.FILTER($CG71:$CM71,$CG71:$CM71&gt;BG71))</f>
        <v>7.1133333333333333</v>
      </c>
      <c r="CP71" s="19">
        <f t="shared" ca="1" si="82"/>
        <v>6.5401897154268473E-2</v>
      </c>
      <c r="CQ71" s="23">
        <f t="shared" ca="1" si="83"/>
        <v>-3.2700948577134237E-2</v>
      </c>
      <c r="CR71" s="23">
        <f t="shared" ca="1" si="84"/>
        <v>-2.1800632384756158E-2</v>
      </c>
      <c r="CS71" s="23">
        <f t="shared" ca="1" si="85"/>
        <v>-1.3080379430853694E-2</v>
      </c>
      <c r="CT71" s="23">
        <f t="shared" ca="1" si="86"/>
        <v>-7.2668774615853859E-3</v>
      </c>
      <c r="CU71" s="23">
        <f t="shared" ca="1" si="87"/>
        <v>-3.8471704208393222E-3</v>
      </c>
      <c r="CV71" s="23">
        <f t="shared" ca="1" si="88"/>
        <v>-1.9818756713414691E-3</v>
      </c>
      <c r="CW71" s="23">
        <f t="shared" ca="1" si="89"/>
        <v>-1.0061830331425919E-3</v>
      </c>
      <c r="CX71" s="24">
        <f t="shared" ca="1" si="90"/>
        <v>1.0061830331425919E-3</v>
      </c>
      <c r="CY71" s="24">
        <f t="shared" ca="1" si="91"/>
        <v>1.9818756713414691E-3</v>
      </c>
      <c r="CZ71" s="24">
        <f t="shared" ca="1" si="92"/>
        <v>3.8471704208393222E-3</v>
      </c>
      <c r="DA71" s="24">
        <f t="shared" ca="1" si="93"/>
        <v>7.2668774615853859E-3</v>
      </c>
      <c r="DB71" s="24">
        <f t="shared" ca="1" si="94"/>
        <v>1.3080379430853694E-2</v>
      </c>
      <c r="DC71" s="24">
        <f t="shared" ca="1" si="95"/>
        <v>2.1800632384756158E-2</v>
      </c>
      <c r="DD71" s="24">
        <f t="shared" ca="1" si="96"/>
        <v>3.2700948577134237E-2</v>
      </c>
      <c r="DF71" s="19" cm="1">
        <f t="array" aca="1" ref="DF71" ca="1">MAX(_xlfn._xlws.FILTER(CQ71:DD71,CQ71:DD71&lt;BJ71))</f>
        <v>-1.9818756713414691E-3</v>
      </c>
      <c r="DG71" s="19" cm="1">
        <f t="array" aca="1" ref="DG71" ca="1">MIN(_xlfn._xlws.FILTER(CQ71:DD71,CQ71:DD71&gt;BJ71))</f>
        <v>-1.0061830331425919E-3</v>
      </c>
      <c r="DH71" s="2" cm="1">
        <f t="array" aca="1" ref="DH71" ca="1">_FV(EE71,"Fechamento anterior",TRUE)</f>
        <v>6.83</v>
      </c>
      <c r="DI71" s="36">
        <f t="shared" ca="1" si="115"/>
        <v>0.53064541817086874</v>
      </c>
      <c r="DJ71" s="18">
        <f t="shared" ca="1" si="97"/>
        <v>6.8164637891647377</v>
      </c>
      <c r="DK71" s="18">
        <f t="shared" ca="1" si="98"/>
        <v>6.8231277698836363</v>
      </c>
      <c r="DL71" s="9"/>
      <c r="DM71" s="9"/>
      <c r="DN71" s="9"/>
      <c r="DO71" s="9"/>
      <c r="DP71" s="79">
        <v>1.4598540145985435E-3</v>
      </c>
      <c r="DQ71" s="79">
        <v>9.0924174547867935E-3</v>
      </c>
      <c r="DR71" s="79">
        <v>1.0173334215146062E-3</v>
      </c>
      <c r="DS71" s="79">
        <f t="shared" ca="1" si="116"/>
        <v>9.7569263819887722E-4</v>
      </c>
      <c r="DT71" s="47"/>
      <c r="DU71" s="43">
        <f t="shared" si="117"/>
        <v>7.0178344238090828E-2</v>
      </c>
      <c r="DV71" s="83">
        <f t="shared" ca="1" si="118"/>
        <v>0.63939999999999997</v>
      </c>
      <c r="DW71" s="83">
        <f t="shared" ca="1" si="119"/>
        <v>0.35970000000000002</v>
      </c>
      <c r="DX71" s="83">
        <f t="shared" ca="1" si="120"/>
        <v>0.27969999999999995</v>
      </c>
      <c r="DY71" s="67"/>
      <c r="DZ71" s="67"/>
      <c r="EA71" s="85"/>
      <c r="EB71" s="44">
        <v>600</v>
      </c>
      <c r="EC71" s="44" cm="1">
        <f t="array" aca="1" ref="EC71" ca="1">_FV(EE71,"Volume")</f>
        <v>1100</v>
      </c>
      <c r="EE71" s="2" t="e" vm="71">
        <v>#VALUE!</v>
      </c>
      <c r="EG71" s="10" cm="1">
        <f t="array" aca="1" ref="EG71" ca="1">_FV(EE71,"Ações em circulação",TRUE)</f>
        <v>2110323000</v>
      </c>
      <c r="EH71" s="21">
        <f>VLOOKUP(BH71,Fundamentus!A:U,5,FALSE)</f>
        <v>0.79400000000000004</v>
      </c>
      <c r="EI71" s="2">
        <f t="shared" ca="1" si="121"/>
        <v>18126451964.735516</v>
      </c>
      <c r="EJ71" s="20">
        <v>1815499713.9823678</v>
      </c>
      <c r="EK71" s="20">
        <f t="shared" ca="1" si="122"/>
        <v>1823521067.6523929</v>
      </c>
      <c r="EM71" s="40" t="str">
        <f>IF(VLOOKUP(BH71,Fundamentus!A:U,3,FALSE)&lt;15,"Bom",IF(VLOOKUP(BH71,Fundamentus!A:U,3,FALSE)&gt;15,"Ruim","n/a"))</f>
        <v>Bom</v>
      </c>
      <c r="EN71" s="36" t="str">
        <f>IF(VLOOKUP(BH71,Fundamentus!A:U,4,FALSE)&lt;1,"Baixo",IF(VLOOKUP(BH71,Fundamentus!A:U,4,FALSE)&lt;1.5,"Moderado",IF(VLOOKUP(BH71,Fundamentus!A:U,4,FALSE)&gt;1.5,"Alto","n/a")))</f>
        <v>Alto</v>
      </c>
      <c r="EO71" s="20" t="str">
        <f>IF(VLOOKUP(BH71,Fundamentus!A:U,8,FALSE)&lt;0,"Risco elevado",IF(VLOOKUP(BH71,Fundamentus!A:U,8,FALSE)&lt;1,"Saudável",IF(VLOOKUP(BH71,Fundamentus!A:U,8,FALSE)&lt;3,"Estável",IF(VLOOKUP(BH71,Fundamentus!A:U,8,FALSE)&gt;3,"Alerta","n/a"))))</f>
        <v>Alerta</v>
      </c>
      <c r="EP71" s="36" t="str">
        <f t="shared" si="123"/>
        <v>Ruim</v>
      </c>
      <c r="EQ71" s="20" t="str">
        <f>IF(VLOOKUP(BH71,Fundamentus!A:U,12,FALSE)&lt;2,"Subvalorizada",IF(VLOOKUP(BH71,Fundamentus!A:U,12,FALSE)&lt;6,"Muita barata",IF(VLOOKUP(BH71,Fundamentus!A:U,12,FALSE)&lt;6,"Barata",IF(VLOOKUP(BH71,Fundamentus!A:U,12,FALSE)&lt;8,"Atrativa",IF(VLOOKUP(BH71,Fundamentus!A:U,12,FALSE)&gt;8,"Supervalorizada","n/a")))))</f>
        <v>Atrativa</v>
      </c>
      <c r="ES71" s="20" t="str">
        <f>IF(VLOOKUP(BH71,Fundamentus!A:U,17,FALSE)&lt;0.1,"Fraco retorno",IF(VLOOKUP(BH71,Fundamentus!A:U,17,FALSE)&gt;0.1,"Bom retorno","n/a"))</f>
        <v>Bom retorno</v>
      </c>
      <c r="ET71" s="20" t="str">
        <f>IF(VLOOKUP(BH71,Fundamentus!A:U,16,FALSE)&lt;0.1,"Ineficiente",IF(VLOOKUP(BH71,Fundamentus!A:U,16,FALSE)&gt;0.1,"Eficiente","n/a"))</f>
        <v>Eficiente</v>
      </c>
      <c r="EU71" s="41" t="str">
        <f>IF(VLOOKUP(BH71,Fundamentus!A:U,16,FALSE)&lt;0.1,"Oper. Ineficiente",IF(VLOOKUP(BH71,Fundamentus!A:U,16,FALSE)&gt;0.1,"Oper.Eficiente","n/a"))</f>
        <v>Oper.Eficiente</v>
      </c>
      <c r="EV71" s="42">
        <f>VLOOKUP(BH71,Fundamentus!A:U,14,FALSE)</f>
        <v>0.10059999999999999</v>
      </c>
      <c r="EW71" s="20" t="str">
        <f>IF(VLOOKUP(BH71,Fundamentus!A:U,21,FALSE)&lt;0,"Negativo",IF(VLOOKUP(BH71,Fundamentus!A:U,21,FALSE)&lt;0.05,"Fraco",IF(VLOOKUP(BH71,Fundamentus!A:U,21,FALSE)&lt;0.1,"Bom",IF(VLOOKUP(BH71,Fundamentus!A:U,21,FALSE)&gt;0.1,"Muito bom","n/a"))))</f>
        <v>Bom</v>
      </c>
      <c r="EY71" s="37" t="str">
        <f>IF(VLOOKUP(BH71,Fundamentus!A:U,15,FALSE)&gt;1,"Bom",IF(VLOOKUP(BH71,Fundamentus!A:U,15,FALSE)&lt;1,"Ruim","n/a"))</f>
        <v>Bom</v>
      </c>
      <c r="EZ71" s="20" t="str">
        <f>IF(VLOOKUP(BH71,Fundamentus!A:U,20,FALSE)&lt;0.5,"Baixa",IF(VLOOKUP(BH71,Fundamentus!A:U,20,FALSE)&lt;1,"Moderada",IF(VLOOKUP(BH71,Fundamentus!A:U,20,FALSE)&lt;2,"Alerta",IF(VLOOKUP(BH71,Fundamentus!A:U,20,FALSE)&gt;2,"Alta","n/a"))))</f>
        <v>Alta</v>
      </c>
      <c r="FA71" s="10"/>
    </row>
    <row r="72" spans="1:157" s="2" customFormat="1" ht="11.25" hidden="1" x14ac:dyDescent="0.2">
      <c r="A72" s="4">
        <v>1.1399999999999999</v>
      </c>
      <c r="B72" s="4">
        <v>1.08</v>
      </c>
      <c r="C72" s="4">
        <v>1.03</v>
      </c>
      <c r="D72" s="4">
        <v>0.98</v>
      </c>
      <c r="E72" s="4">
        <v>0.99</v>
      </c>
      <c r="F72" s="4">
        <v>0.98</v>
      </c>
      <c r="G72" s="4">
        <v>0.95</v>
      </c>
      <c r="H72" s="4">
        <v>0.95</v>
      </c>
      <c r="I72" s="4">
        <v>0.91</v>
      </c>
      <c r="J72" s="4">
        <v>0.92</v>
      </c>
      <c r="K72" s="4">
        <v>0.9</v>
      </c>
      <c r="L72" s="4">
        <v>0.91</v>
      </c>
      <c r="M72" s="4">
        <v>0.89</v>
      </c>
      <c r="N72" s="4">
        <v>0.89</v>
      </c>
      <c r="O72" s="4">
        <v>0.84</v>
      </c>
      <c r="P72" s="4">
        <v>0.97</v>
      </c>
      <c r="Q72" s="4">
        <v>1.02</v>
      </c>
      <c r="R72" s="4">
        <v>1.02</v>
      </c>
      <c r="S72" s="4">
        <v>1.07</v>
      </c>
      <c r="T72" s="4">
        <v>1</v>
      </c>
      <c r="U72" s="4">
        <v>0.98</v>
      </c>
      <c r="V72" s="4">
        <v>1.1200000000000001</v>
      </c>
      <c r="W72" s="4">
        <v>1.04</v>
      </c>
      <c r="X72" s="4">
        <v>1.1000000000000001</v>
      </c>
      <c r="Y72" s="4">
        <v>1.17</v>
      </c>
      <c r="Z72" s="4">
        <v>1.17</v>
      </c>
      <c r="AA72" s="4">
        <v>1.04</v>
      </c>
      <c r="AB72" s="4">
        <v>1.08</v>
      </c>
      <c r="AC72" s="4">
        <v>0.99</v>
      </c>
      <c r="AD72" s="4">
        <v>0.99</v>
      </c>
      <c r="AE72" s="4">
        <v>0.99</v>
      </c>
      <c r="AF72" s="4">
        <v>0.98</v>
      </c>
      <c r="AG72" s="4">
        <v>0.94</v>
      </c>
      <c r="AH72" s="4">
        <v>0.98</v>
      </c>
      <c r="AI72" s="4">
        <v>0.96</v>
      </c>
      <c r="AJ72" s="4">
        <v>0.96</v>
      </c>
      <c r="AK72" s="4">
        <v>0.97</v>
      </c>
      <c r="AL72" s="4">
        <v>0.91</v>
      </c>
      <c r="AM72" s="4">
        <v>0.91</v>
      </c>
      <c r="AN72" s="4">
        <v>0.96</v>
      </c>
      <c r="AO72" s="4">
        <v>1.05</v>
      </c>
      <c r="AP72" s="4">
        <v>0.97</v>
      </c>
      <c r="AQ72" s="4">
        <v>0.89</v>
      </c>
      <c r="AR72" s="4">
        <v>0.84</v>
      </c>
      <c r="AS72" s="4">
        <v>0.89</v>
      </c>
      <c r="AT72" s="4">
        <v>0.86</v>
      </c>
      <c r="AU72" s="4">
        <v>0.94500000000000006</v>
      </c>
      <c r="AV72" s="4">
        <v>1.01</v>
      </c>
      <c r="AW72" s="4">
        <v>0.93</v>
      </c>
      <c r="AX72" s="4">
        <v>0.86</v>
      </c>
      <c r="AY72" s="12">
        <v>0.86</v>
      </c>
      <c r="AZ72" s="12">
        <v>0.86</v>
      </c>
      <c r="BA72" s="12">
        <v>0.84</v>
      </c>
      <c r="BB72" s="18">
        <v>0.89</v>
      </c>
      <c r="BC72" s="63">
        <v>0.94</v>
      </c>
      <c r="BD72" s="63">
        <v>0.85</v>
      </c>
      <c r="BE72" s="63">
        <v>0.85</v>
      </c>
      <c r="BF72" s="63">
        <v>1.3</v>
      </c>
      <c r="BG72" s="91" cm="1">
        <f t="array" aca="1" ref="BG72" ca="1">_FV(EE72,"Preço")</f>
        <v>1.1599999999999999</v>
      </c>
      <c r="BH72" s="93" t="s">
        <v>70</v>
      </c>
      <c r="BI72" s="32" cm="1">
        <f t="array" aca="1" ref="BI72" ca="1">_FV(EE72,"Beta")</f>
        <v>1.3224</v>
      </c>
      <c r="BJ72" s="96" cm="1">
        <f t="array" aca="1" ref="BJ72" ca="1">_FV(EE72,"Variação (%)",TRUE)</f>
        <v>-1.6949000000000002E-2</v>
      </c>
      <c r="BK72" s="49"/>
      <c r="BL72" s="49"/>
      <c r="BN72" s="32"/>
      <c r="BO72" s="20" cm="1">
        <f t="array" aca="1" ref="BO72" ca="1">_FV(EE72,"Baixo")</f>
        <v>1.1399999999999999</v>
      </c>
      <c r="BP72" s="20" cm="1">
        <f t="array" aca="1" ref="BP72" ca="1">_FV(EE72,"Alto")</f>
        <v>1.18</v>
      </c>
      <c r="BQ72" s="32"/>
      <c r="BR72" s="74" t="e">
        <f ca="1">SQRT(22.5*(BG72/VLOOKUP(BH72,Fundamentus!A:U,3,FALSE))*(BG72/VLOOKUP(BH72,Fundamentus!A:U,4,FALSE)))</f>
        <v>#NUM!</v>
      </c>
      <c r="BT72" s="73">
        <f t="shared" ca="1" si="99"/>
        <v>-0.10769230769230778</v>
      </c>
      <c r="BU72" s="36">
        <f t="shared" si="100"/>
        <v>-0.25438596491228066</v>
      </c>
      <c r="BV72" s="8"/>
      <c r="BW72" s="72">
        <f t="shared" si="101"/>
        <v>0.84</v>
      </c>
      <c r="BX72" s="72">
        <f t="shared" si="102"/>
        <v>0.97094827586206878</v>
      </c>
      <c r="BY72" s="72">
        <f t="shared" si="103"/>
        <v>1.3</v>
      </c>
      <c r="BZ72" s="17"/>
      <c r="CA72" s="17"/>
      <c r="CB72" s="43">
        <f t="shared" si="104"/>
        <v>0.86844251806178629</v>
      </c>
      <c r="CC72" s="18">
        <f t="shared" si="105"/>
        <v>1.2395220243673748</v>
      </c>
      <c r="CD72" s="43">
        <f t="shared" si="106"/>
        <v>1.6106015306729633</v>
      </c>
      <c r="CE72" s="98">
        <f t="shared" ca="1" si="107"/>
        <v>-0.2142991542677313</v>
      </c>
      <c r="CF72" s="17"/>
      <c r="CG72" s="20">
        <f t="shared" si="108"/>
        <v>0.53333333333333333</v>
      </c>
      <c r="CH72" s="20">
        <f t="shared" si="109"/>
        <v>0.68666666666666665</v>
      </c>
      <c r="CI72" s="20">
        <f t="shared" si="110"/>
        <v>0.9933333333333334</v>
      </c>
      <c r="CJ72" s="49">
        <f t="shared" si="111"/>
        <v>1.1466666666666667</v>
      </c>
      <c r="CK72" s="20">
        <f t="shared" si="112"/>
        <v>1.4533333333333336</v>
      </c>
      <c r="CL72" s="20">
        <f t="shared" si="113"/>
        <v>1.6066666666666669</v>
      </c>
      <c r="CM72" s="20">
        <f t="shared" si="114"/>
        <v>1.9133333333333336</v>
      </c>
      <c r="CN72" s="2" cm="1">
        <f t="array" aca="1" ref="CN72" ca="1">MAX(_xlfn._xlws.FILTER(CG72:CM72,CG72:CM72&lt;BG72))</f>
        <v>1.1466666666666667</v>
      </c>
      <c r="CO72" s="2" cm="1">
        <f t="array" aca="1" ref="CO72" ca="1">MIN(_xlfn._xlws.FILTER($CG72:$CM72,$CG72:$CM72&gt;BG72))</f>
        <v>1.4533333333333336</v>
      </c>
      <c r="CP72" s="19">
        <f t="shared" ca="1" si="82"/>
        <v>0.26744186046511653</v>
      </c>
      <c r="CQ72" s="23">
        <f t="shared" ca="1" si="83"/>
        <v>-0.13372093023255827</v>
      </c>
      <c r="CR72" s="23">
        <f t="shared" ca="1" si="84"/>
        <v>-8.9147286821705515E-2</v>
      </c>
      <c r="CS72" s="23">
        <f t="shared" ca="1" si="85"/>
        <v>-5.3488372093023304E-2</v>
      </c>
      <c r="CT72" s="23">
        <f t="shared" ca="1" si="86"/>
        <v>-2.9715762273901838E-2</v>
      </c>
      <c r="CU72" s="23">
        <f t="shared" ca="1" si="87"/>
        <v>-1.5731874145006854E-2</v>
      </c>
      <c r="CV72" s="23">
        <f t="shared" ca="1" si="88"/>
        <v>-8.1042988019732285E-3</v>
      </c>
      <c r="CW72" s="23">
        <f t="shared" ca="1" si="89"/>
        <v>-4.1144901610017928E-3</v>
      </c>
      <c r="CX72" s="24">
        <f t="shared" ca="1" si="90"/>
        <v>4.1144901610017928E-3</v>
      </c>
      <c r="CY72" s="24">
        <f t="shared" ca="1" si="91"/>
        <v>8.1042988019732285E-3</v>
      </c>
      <c r="CZ72" s="24">
        <f t="shared" ca="1" si="92"/>
        <v>1.5731874145006854E-2</v>
      </c>
      <c r="DA72" s="24">
        <f t="shared" ca="1" si="93"/>
        <v>2.9715762273901838E-2</v>
      </c>
      <c r="DB72" s="24">
        <f t="shared" ca="1" si="94"/>
        <v>5.3488372093023304E-2</v>
      </c>
      <c r="DC72" s="24">
        <f t="shared" ca="1" si="95"/>
        <v>8.9147286821705515E-2</v>
      </c>
      <c r="DD72" s="24">
        <f t="shared" ca="1" si="96"/>
        <v>0.13372093023255827</v>
      </c>
      <c r="DF72" s="19" cm="1">
        <f t="array" aca="1" ref="DF72" ca="1">MAX(_xlfn._xlws.FILTER(CQ72:DD72,CQ72:DD72&lt;BJ72))</f>
        <v>-2.9715762273901838E-2</v>
      </c>
      <c r="DG72" s="19" cm="1">
        <f t="array" aca="1" ref="DG72" ca="1">MIN(_xlfn._xlws.FILTER(CQ72:DD72,CQ72:DD72&gt;BJ72))</f>
        <v>-1.5731874145006854E-2</v>
      </c>
      <c r="DH72" s="2" cm="1">
        <f t="array" aca="1" ref="DH72" ca="1">_FV(EE72,"Fechamento anterior",TRUE)</f>
        <v>1.18</v>
      </c>
      <c r="DI72" s="36">
        <f t="shared" ca="1" si="115"/>
        <v>0.9129513633013997</v>
      </c>
      <c r="DJ72" s="18">
        <f t="shared" ca="1" si="97"/>
        <v>1.1449354005167958</v>
      </c>
      <c r="DK72" s="18">
        <f t="shared" ca="1" si="98"/>
        <v>1.1614363885088919</v>
      </c>
      <c r="DL72" s="9"/>
      <c r="DM72" s="9"/>
      <c r="DN72" s="9"/>
      <c r="DO72" s="9"/>
      <c r="DP72" s="79">
        <v>3.9702233250620382E-3</v>
      </c>
      <c r="DQ72" s="79">
        <v>8.3184789067141957E-3</v>
      </c>
      <c r="DR72" s="79">
        <v>2.059620596205964E-2</v>
      </c>
      <c r="DS72" s="79">
        <f t="shared" ca="1" si="116"/>
        <v>1.3983888128894985E-2</v>
      </c>
      <c r="DT72" s="47"/>
      <c r="DU72" s="43">
        <f t="shared" si="117"/>
        <v>0.18553975315279422</v>
      </c>
      <c r="DV72" s="83">
        <f t="shared" ca="1" si="118"/>
        <v>1.7484999999999999</v>
      </c>
      <c r="DW72" s="83">
        <f t="shared" ca="1" si="119"/>
        <v>3.0173000000000005</v>
      </c>
      <c r="DX72" s="83">
        <f t="shared" ca="1" si="120"/>
        <v>-1.2688000000000006</v>
      </c>
      <c r="DY72" s="67"/>
      <c r="DZ72" s="67"/>
      <c r="EA72" s="85"/>
      <c r="EB72" s="44">
        <v>137900</v>
      </c>
      <c r="EC72" s="44" cm="1">
        <f t="array" aca="1" ref="EC72" ca="1">_FV(EE72,"Volume")</f>
        <v>26600</v>
      </c>
      <c r="EE72" s="2" t="e" vm="72">
        <v>#VALUE!</v>
      </c>
      <c r="EG72" s="10" cm="1">
        <f t="array" aca="1" ref="EG72" ca="1">_FV(EE72,"Ações em circulação",TRUE)</f>
        <v>124061300</v>
      </c>
      <c r="EH72" s="21">
        <f>VLOOKUP(BH72,Fundamentus!A:U,5,FALSE)</f>
        <v>1.6830000000000001</v>
      </c>
      <c r="EI72" s="2">
        <f t="shared" ca="1" si="121"/>
        <v>85508679.738562092</v>
      </c>
      <c r="EJ72" s="20">
        <v>-35907011.196078427</v>
      </c>
      <c r="EK72" s="20">
        <f t="shared" ca="1" si="122"/>
        <v>-32040102.298039213</v>
      </c>
      <c r="EM72" s="40" t="str">
        <f>IF(VLOOKUP(BH72,Fundamentus!A:U,3,FALSE)&lt;15,"Bom",IF(VLOOKUP(BH72,Fundamentus!A:U,3,FALSE)&gt;15,"Ruim","n/a"))</f>
        <v>Bom</v>
      </c>
      <c r="EN72" s="36" t="str">
        <f>IF(VLOOKUP(BH72,Fundamentus!A:U,4,FALSE)&lt;1,"Baixo",IF(VLOOKUP(BH72,Fundamentus!A:U,4,FALSE)&lt;1.5,"Moderado",IF(VLOOKUP(BH72,Fundamentus!A:U,4,FALSE)&gt;1.5,"Alto","n/a")))</f>
        <v>Baixo</v>
      </c>
      <c r="EO72" s="20" t="str">
        <f>IF(VLOOKUP(BH72,Fundamentus!A:U,8,FALSE)&lt;0,"Risco elevado",IF(VLOOKUP(BH72,Fundamentus!A:U,8,FALSE)&lt;1,"Saudável",IF(VLOOKUP(BH72,Fundamentus!A:U,8,FALSE)&lt;3,"Estável",IF(VLOOKUP(BH72,Fundamentus!A:U,8,FALSE)&gt;3,"Alerta","n/a"))))</f>
        <v>Risco elevado</v>
      </c>
      <c r="EP72" s="36" t="str">
        <f t="shared" si="123"/>
        <v>Bom</v>
      </c>
      <c r="EQ72" s="20" t="str">
        <f>IF(VLOOKUP(BH72,Fundamentus!A:U,12,FALSE)&lt;2,"Subvalorizada",IF(VLOOKUP(BH72,Fundamentus!A:U,12,FALSE)&lt;6,"Muita barata",IF(VLOOKUP(BH72,Fundamentus!A:U,12,FALSE)&lt;6,"Barata",IF(VLOOKUP(BH72,Fundamentus!A:U,12,FALSE)&lt;8,"Atrativa",IF(VLOOKUP(BH72,Fundamentus!A:U,12,FALSE)&gt;8,"Supervalorizada","n/a")))))</f>
        <v>Supervalorizada</v>
      </c>
      <c r="ES72" s="20" t="str">
        <f>IF(VLOOKUP(BH72,Fundamentus!A:U,17,FALSE)&lt;0.1,"Fraco retorno",IF(VLOOKUP(BH72,Fundamentus!A:U,17,FALSE)&gt;0.1,"Bom retorno","n/a"))</f>
        <v>Fraco retorno</v>
      </c>
      <c r="ET72" s="20" t="str">
        <f>IF(VLOOKUP(BH72,Fundamentus!A:U,16,FALSE)&lt;0.1,"Ineficiente",IF(VLOOKUP(BH72,Fundamentus!A:U,16,FALSE)&gt;0.1,"Eficiente","n/a"))</f>
        <v>Ineficiente</v>
      </c>
      <c r="EU72" s="41" t="str">
        <f>IF(VLOOKUP(BH72,Fundamentus!A:U,16,FALSE)&lt;0.1,"Oper. Ineficiente",IF(VLOOKUP(BH72,Fundamentus!A:U,16,FALSE)&gt;0.1,"Oper.Eficiente","n/a"))</f>
        <v>Oper. Ineficiente</v>
      </c>
      <c r="EV72" s="42">
        <f>VLOOKUP(BH72,Fundamentus!A:U,14,FALSE)</f>
        <v>-0.37469999999999998</v>
      </c>
      <c r="EW72" s="20" t="str">
        <f>IF(VLOOKUP(BH72,Fundamentus!A:U,21,FALSE)&lt;0,"Negativo",IF(VLOOKUP(BH72,Fundamentus!A:U,21,FALSE)&lt;0.05,"Fraco",IF(VLOOKUP(BH72,Fundamentus!A:U,21,FALSE)&lt;0.1,"Bom",IF(VLOOKUP(BH72,Fundamentus!A:U,21,FALSE)&gt;0.1,"Muito bom","n/a"))))</f>
        <v>Muito bom</v>
      </c>
      <c r="EY72" s="37" t="str">
        <f>IF(VLOOKUP(BH72,Fundamentus!A:U,15,FALSE)&gt;1,"Bom",IF(VLOOKUP(BH72,Fundamentus!A:U,15,FALSE)&lt;1,"Ruim","n/a"))</f>
        <v>Ruim</v>
      </c>
      <c r="EZ72" s="20" t="str">
        <f>IF(VLOOKUP(BH72,Fundamentus!A:U,20,FALSE)&lt;0.5,"Baixa",IF(VLOOKUP(BH72,Fundamentus!A:U,20,FALSE)&lt;1,"Moderada",IF(VLOOKUP(BH72,Fundamentus!A:U,20,FALSE)&lt;2,"Alerta",IF(VLOOKUP(BH72,Fundamentus!A:U,20,FALSE)&gt;2,"Alta","n/a"))))</f>
        <v>Alerta</v>
      </c>
      <c r="FA72" s="10"/>
    </row>
    <row r="73" spans="1:157" s="2" customFormat="1" ht="11.25" hidden="1" x14ac:dyDescent="0.2">
      <c r="A73" s="4">
        <v>2.39</v>
      </c>
      <c r="B73" s="4">
        <v>2.27</v>
      </c>
      <c r="C73" s="4">
        <v>2.0099999999999998</v>
      </c>
      <c r="D73" s="4">
        <v>2.06</v>
      </c>
      <c r="E73" s="4">
        <v>1.93</v>
      </c>
      <c r="F73" s="4">
        <v>1.9</v>
      </c>
      <c r="G73" s="4">
        <v>2.0099999999999998</v>
      </c>
      <c r="H73" s="4">
        <v>1.9</v>
      </c>
      <c r="I73" s="4">
        <v>1.96</v>
      </c>
      <c r="J73" s="4">
        <v>2.06</v>
      </c>
      <c r="K73" s="4">
        <v>2.09</v>
      </c>
      <c r="L73" s="4">
        <v>1.87</v>
      </c>
      <c r="M73" s="4">
        <v>1.86</v>
      </c>
      <c r="N73" s="4">
        <v>1.85</v>
      </c>
      <c r="O73" s="4">
        <v>1.91</v>
      </c>
      <c r="P73" s="4">
        <v>1.92</v>
      </c>
      <c r="Q73" s="4">
        <v>2.25</v>
      </c>
      <c r="R73" s="4">
        <v>1.97</v>
      </c>
      <c r="S73" s="4">
        <v>1.9</v>
      </c>
      <c r="T73" s="4">
        <v>2.08</v>
      </c>
      <c r="U73" s="4">
        <v>1.87</v>
      </c>
      <c r="V73" s="4">
        <v>1.9</v>
      </c>
      <c r="W73" s="4">
        <v>1.84</v>
      </c>
      <c r="X73" s="4">
        <v>1.82</v>
      </c>
      <c r="Y73" s="4">
        <v>1.84</v>
      </c>
      <c r="Z73" s="4">
        <v>2.08</v>
      </c>
      <c r="AA73" s="4">
        <v>1.94</v>
      </c>
      <c r="AB73" s="4">
        <v>2.0499999999999998</v>
      </c>
      <c r="AC73" s="4">
        <v>2.2999999999999998</v>
      </c>
      <c r="AD73" s="4">
        <v>2.5299999999999998</v>
      </c>
      <c r="AE73" s="4">
        <v>2.39</v>
      </c>
      <c r="AF73" s="4">
        <v>2.06</v>
      </c>
      <c r="AG73" s="4">
        <v>1.96</v>
      </c>
      <c r="AH73" s="4">
        <v>1.55</v>
      </c>
      <c r="AI73" s="4">
        <v>1.4</v>
      </c>
      <c r="AJ73" s="4">
        <v>1.5</v>
      </c>
      <c r="AK73" s="4">
        <v>1.66</v>
      </c>
      <c r="AL73" s="4">
        <v>1.71</v>
      </c>
      <c r="AM73" s="4">
        <v>1.78</v>
      </c>
      <c r="AN73" s="4">
        <v>1.97</v>
      </c>
      <c r="AO73" s="4">
        <v>1.83</v>
      </c>
      <c r="AP73" s="4">
        <v>1.98</v>
      </c>
      <c r="AQ73" s="4">
        <v>1.84</v>
      </c>
      <c r="AR73" s="4">
        <v>1.73</v>
      </c>
      <c r="AS73" s="4">
        <v>1.87</v>
      </c>
      <c r="AT73" s="4">
        <v>2.02</v>
      </c>
      <c r="AU73" s="4">
        <v>2</v>
      </c>
      <c r="AV73" s="4">
        <v>2.2599999999999998</v>
      </c>
      <c r="AW73" s="4">
        <v>2.02</v>
      </c>
      <c r="AX73" s="4">
        <v>2.1800000000000002</v>
      </c>
      <c r="AY73" s="12">
        <v>2.23</v>
      </c>
      <c r="AZ73" s="12">
        <v>2.2999999999999998</v>
      </c>
      <c r="BA73" s="12">
        <v>2.17</v>
      </c>
      <c r="BB73" s="18">
        <v>2.21</v>
      </c>
      <c r="BC73" s="63">
        <v>2.2200000000000002</v>
      </c>
      <c r="BD73" s="63">
        <v>2.2400000000000002</v>
      </c>
      <c r="BE73" s="63">
        <v>2.37</v>
      </c>
      <c r="BF73" s="63">
        <v>2.54</v>
      </c>
      <c r="BG73" s="91" cm="1">
        <f t="array" aca="1" ref="BG73" ca="1">_FV(EE73,"Preço")</f>
        <v>2.31</v>
      </c>
      <c r="BH73" s="93" t="s">
        <v>71</v>
      </c>
      <c r="BI73" s="32" cm="1">
        <f t="array" aca="1" ref="BI73" ca="1">_FV(EE73,"Beta")</f>
        <v>2.5171999999999999</v>
      </c>
      <c r="BJ73" s="96" cm="1">
        <f t="array" aca="1" ref="BJ73" ca="1">_FV(EE73,"Variação (%)",TRUE)</f>
        <v>-8.333299999999999E-2</v>
      </c>
      <c r="BK73" s="49"/>
      <c r="BL73" s="49"/>
      <c r="BN73" s="32"/>
      <c r="BO73" s="20" cm="1">
        <f t="array" aca="1" ref="BO73" ca="1">_FV(EE73,"Baixo")</f>
        <v>2.2999999999999998</v>
      </c>
      <c r="BP73" s="20" cm="1">
        <f t="array" aca="1" ref="BP73" ca="1">_FV(EE73,"Alto")</f>
        <v>2.5</v>
      </c>
      <c r="BQ73" s="32"/>
      <c r="BR73" s="74" t="e">
        <f ca="1">SQRT(22.5*(BG73/VLOOKUP(BH73,Fundamentus!A:U,3,FALSE))*(BG73/VLOOKUP(BH73,Fundamentus!A:U,4,FALSE)))</f>
        <v>#NUM!</v>
      </c>
      <c r="BT73" s="73">
        <f t="shared" ca="1" si="99"/>
        <v>-9.0551181102362197E-2</v>
      </c>
      <c r="BU73" s="36">
        <f t="shared" si="100"/>
        <v>-8.3682008368200899E-3</v>
      </c>
      <c r="BV73" s="8"/>
      <c r="BW73" s="72">
        <f t="shared" si="101"/>
        <v>1.4</v>
      </c>
      <c r="BX73" s="72">
        <f t="shared" si="102"/>
        <v>2.0060344827586207</v>
      </c>
      <c r="BY73" s="72">
        <f t="shared" si="103"/>
        <v>2.54</v>
      </c>
      <c r="BZ73" s="17"/>
      <c r="CA73" s="17"/>
      <c r="CB73" s="43">
        <f t="shared" si="104"/>
        <v>2.3490182404396607</v>
      </c>
      <c r="CC73" s="18">
        <f t="shared" si="105"/>
        <v>2.6045079662604849</v>
      </c>
      <c r="CD73" s="43">
        <f t="shared" si="106"/>
        <v>2.8599976920813091</v>
      </c>
      <c r="CE73" s="98">
        <f t="shared" ca="1" si="107"/>
        <v>-1.1527194109833765</v>
      </c>
      <c r="CF73" s="17"/>
      <c r="CG73" s="20">
        <f t="shared" si="108"/>
        <v>0.64000000000000012</v>
      </c>
      <c r="CH73" s="20">
        <f t="shared" si="109"/>
        <v>1.02</v>
      </c>
      <c r="CI73" s="20">
        <f t="shared" si="110"/>
        <v>1.7800000000000002</v>
      </c>
      <c r="CJ73" s="49">
        <f t="shared" si="111"/>
        <v>2.16</v>
      </c>
      <c r="CK73" s="20">
        <f t="shared" si="112"/>
        <v>2.9200000000000004</v>
      </c>
      <c r="CL73" s="20">
        <f t="shared" si="113"/>
        <v>3.3000000000000003</v>
      </c>
      <c r="CM73" s="20">
        <f t="shared" si="114"/>
        <v>4.0600000000000005</v>
      </c>
      <c r="CN73" s="2" cm="1">
        <f t="array" aca="1" ref="CN73" ca="1">MAX(_xlfn._xlws.FILTER(CG73:CM73,CG73:CM73&lt;BG73))</f>
        <v>2.16</v>
      </c>
      <c r="CO73" s="2" cm="1">
        <f t="array" aca="1" ref="CO73" ca="1">MIN(_xlfn._xlws.FILTER($CG73:$CM73,$CG73:$CM73&gt;BG73))</f>
        <v>2.9200000000000004</v>
      </c>
      <c r="CP73" s="19">
        <f t="shared" ca="1" si="82"/>
        <v>0.35185185185185186</v>
      </c>
      <c r="CQ73" s="23">
        <f t="shared" ca="1" si="83"/>
        <v>-0.17592592592592593</v>
      </c>
      <c r="CR73" s="23">
        <f t="shared" ca="1" si="84"/>
        <v>-0.11728395061728396</v>
      </c>
      <c r="CS73" s="23">
        <f t="shared" ca="1" si="85"/>
        <v>-7.0370370370370375E-2</v>
      </c>
      <c r="CT73" s="23">
        <f t="shared" ca="1" si="86"/>
        <v>-3.9094650205761319E-2</v>
      </c>
      <c r="CU73" s="23">
        <f t="shared" ca="1" si="87"/>
        <v>-2.0697167755991286E-2</v>
      </c>
      <c r="CV73" s="23">
        <f t="shared" ca="1" si="88"/>
        <v>-1.0662177328843996E-2</v>
      </c>
      <c r="CW73" s="23">
        <f t="shared" ca="1" si="89"/>
        <v>-5.4131054131054132E-3</v>
      </c>
      <c r="CX73" s="24">
        <f t="shared" ca="1" si="90"/>
        <v>5.4131054131054132E-3</v>
      </c>
      <c r="CY73" s="24">
        <f t="shared" ca="1" si="91"/>
        <v>1.0662177328843996E-2</v>
      </c>
      <c r="CZ73" s="24">
        <f t="shared" ca="1" si="92"/>
        <v>2.0697167755991286E-2</v>
      </c>
      <c r="DA73" s="24">
        <f t="shared" ca="1" si="93"/>
        <v>3.9094650205761319E-2</v>
      </c>
      <c r="DB73" s="24">
        <f t="shared" ca="1" si="94"/>
        <v>7.0370370370370375E-2</v>
      </c>
      <c r="DC73" s="24">
        <f t="shared" ca="1" si="95"/>
        <v>0.11728395061728396</v>
      </c>
      <c r="DD73" s="24">
        <f t="shared" ca="1" si="96"/>
        <v>0.17592592592592593</v>
      </c>
      <c r="DF73" s="19" cm="1">
        <f t="array" aca="1" ref="DF73" ca="1">MAX(_xlfn._xlws.FILTER(CQ73:DD73,CQ73:DD73&lt;BJ73))</f>
        <v>-0.11728395061728396</v>
      </c>
      <c r="DG73" s="19" cm="1">
        <f t="array" aca="1" ref="DG73" ca="1">MIN(_xlfn._xlws.FILTER(CQ73:DD73,CQ73:DD73&gt;BJ73))</f>
        <v>-7.0370370370370375E-2</v>
      </c>
      <c r="DH73" s="2" cm="1">
        <f t="array" aca="1" ref="DH73" ca="1">_FV(EE73,"Fechamento anterior",TRUE)</f>
        <v>2.52</v>
      </c>
      <c r="DI73" s="36">
        <f t="shared" ca="1" si="115"/>
        <v>0.72368421052631615</v>
      </c>
      <c r="DJ73" s="18">
        <f t="shared" ca="1" si="97"/>
        <v>2.2244444444444444</v>
      </c>
      <c r="DK73" s="18">
        <f t="shared" ca="1" si="98"/>
        <v>2.3426666666666667</v>
      </c>
      <c r="DL73" s="9"/>
      <c r="DM73" s="9"/>
      <c r="DN73" s="9"/>
      <c r="DO73" s="9"/>
      <c r="DP73" s="79">
        <v>4.4725738396624484E-2</v>
      </c>
      <c r="DQ73" s="79">
        <v>1.0321324245374878E-2</v>
      </c>
      <c r="DR73" s="79">
        <v>5.0199405649642625E-3</v>
      </c>
      <c r="DS73" s="79">
        <f t="shared" ca="1" si="116"/>
        <v>4.6913580246913583E-2</v>
      </c>
      <c r="DT73" s="47"/>
      <c r="DU73" s="43">
        <f t="shared" si="117"/>
        <v>0.12774486291041209</v>
      </c>
      <c r="DV73" s="83">
        <f t="shared" ca="1" si="118"/>
        <v>2.9432999999999998</v>
      </c>
      <c r="DW73" s="83">
        <f t="shared" ca="1" si="119"/>
        <v>10.8505</v>
      </c>
      <c r="DX73" s="83">
        <f t="shared" ca="1" si="120"/>
        <v>-7.9072000000000005</v>
      </c>
      <c r="DY73" s="67"/>
      <c r="DZ73" s="67"/>
      <c r="EA73" s="85"/>
      <c r="EB73" s="44">
        <v>16854900</v>
      </c>
      <c r="EC73" s="44" cm="1">
        <f t="array" aca="1" ref="EC73" ca="1">_FV(EE73,"Volume")</f>
        <v>18669700</v>
      </c>
      <c r="EE73" s="2" t="e" vm="73">
        <v>#VALUE!</v>
      </c>
      <c r="EG73" s="10" cm="1">
        <f t="array" aca="1" ref="EG73" ca="1">_FV(EE73,"Ações em circulação",TRUE)</f>
        <v>525591100</v>
      </c>
      <c r="EH73" s="21">
        <f>VLOOKUP(BH73,Fundamentus!A:U,5,FALSE)</f>
        <v>0.93200000000000005</v>
      </c>
      <c r="EI73" s="2">
        <f t="shared" ca="1" si="121"/>
        <v>1302698971.0300429</v>
      </c>
      <c r="EJ73" s="20">
        <v>-75774220.753862664</v>
      </c>
      <c r="EK73" s="20">
        <f t="shared" ca="1" si="122"/>
        <v>-68912775.567489266</v>
      </c>
      <c r="EM73" s="40" t="str">
        <f>IF(VLOOKUP(BH73,Fundamentus!A:U,3,FALSE)&lt;15,"Bom",IF(VLOOKUP(BH73,Fundamentus!A:U,3,FALSE)&gt;15,"Ruim","n/a"))</f>
        <v>Bom</v>
      </c>
      <c r="EN73" s="36" t="str">
        <f>IF(VLOOKUP(BH73,Fundamentus!A:U,4,FALSE)&lt;1,"Baixo",IF(VLOOKUP(BH73,Fundamentus!A:U,4,FALSE)&lt;1.5,"Moderado",IF(VLOOKUP(BH73,Fundamentus!A:U,4,FALSE)&gt;1.5,"Alto","n/a")))</f>
        <v>Alto</v>
      </c>
      <c r="EO73" s="20" t="str">
        <f>IF(VLOOKUP(BH73,Fundamentus!A:U,8,FALSE)&lt;0,"Risco elevado",IF(VLOOKUP(BH73,Fundamentus!A:U,8,FALSE)&lt;1,"Saudável",IF(VLOOKUP(BH73,Fundamentus!A:U,8,FALSE)&lt;3,"Estável",IF(VLOOKUP(BH73,Fundamentus!A:U,8,FALSE)&gt;3,"Alerta","n/a"))))</f>
        <v>Risco elevado</v>
      </c>
      <c r="EP73" s="36" t="str">
        <f t="shared" si="123"/>
        <v>Ruim</v>
      </c>
      <c r="EQ73" s="20" t="str">
        <f>IF(VLOOKUP(BH73,Fundamentus!A:U,12,FALSE)&lt;2,"Subvalorizada",IF(VLOOKUP(BH73,Fundamentus!A:U,12,FALSE)&lt;6,"Muita barata",IF(VLOOKUP(BH73,Fundamentus!A:U,12,FALSE)&lt;6,"Barata",IF(VLOOKUP(BH73,Fundamentus!A:U,12,FALSE)&lt;8,"Atrativa",IF(VLOOKUP(BH73,Fundamentus!A:U,12,FALSE)&gt;8,"Supervalorizada","n/a")))))</f>
        <v>Muita barata</v>
      </c>
      <c r="ES73" s="20" t="str">
        <f>IF(VLOOKUP(BH73,Fundamentus!A:U,17,FALSE)&lt;0.1,"Fraco retorno",IF(VLOOKUP(BH73,Fundamentus!A:U,17,FALSE)&gt;0.1,"Bom retorno","n/a"))</f>
        <v>Fraco retorno</v>
      </c>
      <c r="ET73" s="20" t="str">
        <f>IF(VLOOKUP(BH73,Fundamentus!A:U,16,FALSE)&lt;0.1,"Ineficiente",IF(VLOOKUP(BH73,Fundamentus!A:U,16,FALSE)&gt;0.1,"Eficiente","n/a"))</f>
        <v>Ineficiente</v>
      </c>
      <c r="EU73" s="41" t="str">
        <f>IF(VLOOKUP(BH73,Fundamentus!A:U,16,FALSE)&lt;0.1,"Oper. Ineficiente",IF(VLOOKUP(BH73,Fundamentus!A:U,16,FALSE)&gt;0.1,"Oper.Eficiente","n/a"))</f>
        <v>Oper. Ineficiente</v>
      </c>
      <c r="EV73" s="42">
        <f>VLOOKUP(BH73,Fundamentus!A:U,14,FALSE)</f>
        <v>-5.2900000000000003E-2</v>
      </c>
      <c r="EW73" s="20" t="str">
        <f>IF(VLOOKUP(BH73,Fundamentus!A:U,21,FALSE)&lt;0,"Negativo",IF(VLOOKUP(BH73,Fundamentus!A:U,21,FALSE)&lt;0.05,"Fraco",IF(VLOOKUP(BH73,Fundamentus!A:U,21,FALSE)&lt;0.1,"Bom",IF(VLOOKUP(BH73,Fundamentus!A:U,21,FALSE)&gt;0.1,"Muito bom","n/a"))))</f>
        <v>Muito bom</v>
      </c>
      <c r="EY73" s="37" t="str">
        <f>IF(VLOOKUP(BH73,Fundamentus!A:U,15,FALSE)&gt;1,"Bom",IF(VLOOKUP(BH73,Fundamentus!A:U,15,FALSE)&lt;1,"Ruim","n/a"))</f>
        <v>Ruim</v>
      </c>
      <c r="EZ73" s="20" t="str">
        <f>IF(VLOOKUP(BH73,Fundamentus!A:U,20,FALSE)&lt;0.5,"Baixa",IF(VLOOKUP(BH73,Fundamentus!A:U,20,FALSE)&lt;1,"Moderada",IF(VLOOKUP(BH73,Fundamentus!A:U,20,FALSE)&lt;2,"Alerta",IF(VLOOKUP(BH73,Fundamentus!A:U,20,FALSE)&gt;2,"Alta","n/a"))))</f>
        <v>Alerta</v>
      </c>
      <c r="FA73" s="10"/>
    </row>
    <row r="74" spans="1:157" s="2" customFormat="1" ht="11.25" hidden="1" x14ac:dyDescent="0.2">
      <c r="A74" s="4">
        <v>40.35</v>
      </c>
      <c r="B74" s="4">
        <v>39.46</v>
      </c>
      <c r="C74" s="4">
        <v>41.74</v>
      </c>
      <c r="D74" s="4">
        <v>40.4</v>
      </c>
      <c r="E74" s="4">
        <v>40.69</v>
      </c>
      <c r="F74" s="4">
        <v>39.36</v>
      </c>
      <c r="G74" s="4">
        <v>37.68</v>
      </c>
      <c r="H74" s="4">
        <v>37.5</v>
      </c>
      <c r="I74" s="4">
        <v>38.56</v>
      </c>
      <c r="J74" s="4">
        <v>40.479999999999997</v>
      </c>
      <c r="K74" s="4">
        <v>42.02</v>
      </c>
      <c r="L74" s="4">
        <v>42.62</v>
      </c>
      <c r="M74" s="4">
        <v>43.84</v>
      </c>
      <c r="N74" s="4">
        <v>42.2</v>
      </c>
      <c r="O74" s="4">
        <v>44.58</v>
      </c>
      <c r="P74" s="4">
        <v>45.42</v>
      </c>
      <c r="Q74" s="4">
        <v>45.9</v>
      </c>
      <c r="R74" s="4">
        <v>46.27</v>
      </c>
      <c r="S74" s="4">
        <v>45.76</v>
      </c>
      <c r="T74" s="4">
        <v>48.86</v>
      </c>
      <c r="U74" s="4">
        <v>46.1</v>
      </c>
      <c r="V74" s="4">
        <v>48.05</v>
      </c>
      <c r="W74" s="4">
        <v>45.82</v>
      </c>
      <c r="X74" s="4">
        <v>45.32</v>
      </c>
      <c r="Y74" s="4">
        <v>46.69</v>
      </c>
      <c r="Z74" s="4">
        <v>46.72</v>
      </c>
      <c r="AA74" s="4">
        <v>45.75</v>
      </c>
      <c r="AB74" s="4">
        <v>46.49</v>
      </c>
      <c r="AC74" s="4">
        <v>45.35</v>
      </c>
      <c r="AD74" s="4">
        <v>44.25</v>
      </c>
      <c r="AE74" s="4">
        <v>41.71</v>
      </c>
      <c r="AF74" s="4">
        <v>41.46</v>
      </c>
      <c r="AG74" s="4">
        <v>41.26</v>
      </c>
      <c r="AH74" s="4">
        <v>38.79</v>
      </c>
      <c r="AI74" s="4">
        <v>38.06</v>
      </c>
      <c r="AJ74" s="4">
        <v>37.4</v>
      </c>
      <c r="AK74" s="4">
        <v>36.85</v>
      </c>
      <c r="AL74" s="4">
        <v>36.76</v>
      </c>
      <c r="AM74" s="4">
        <v>38.67</v>
      </c>
      <c r="AN74" s="4">
        <v>41.44</v>
      </c>
      <c r="AO74" s="4">
        <v>42.65</v>
      </c>
      <c r="AP74" s="4">
        <v>45.05</v>
      </c>
      <c r="AQ74" s="4">
        <v>43.58</v>
      </c>
      <c r="AR74" s="4">
        <v>41.62</v>
      </c>
      <c r="AS74" s="4">
        <v>42.05</v>
      </c>
      <c r="AT74" s="4">
        <v>43.65</v>
      </c>
      <c r="AU74" s="4">
        <v>43.475000000000001</v>
      </c>
      <c r="AV74" s="4">
        <v>42.67</v>
      </c>
      <c r="AW74" s="4">
        <v>41.47</v>
      </c>
      <c r="AX74" s="4">
        <v>41.46</v>
      </c>
      <c r="AY74" s="12">
        <v>44.55</v>
      </c>
      <c r="AZ74" s="12">
        <v>48.7</v>
      </c>
      <c r="BA74" s="12">
        <v>49.04</v>
      </c>
      <c r="BB74" s="18">
        <v>48.03</v>
      </c>
      <c r="BC74" s="63">
        <v>51.8</v>
      </c>
      <c r="BD74" s="63">
        <v>51.55</v>
      </c>
      <c r="BE74" s="63">
        <v>51.91</v>
      </c>
      <c r="BF74" s="63">
        <v>53.21</v>
      </c>
      <c r="BG74" s="91" cm="1">
        <f t="array" aca="1" ref="BG74" ca="1">_FV(EE74,"Preço")</f>
        <v>51.72</v>
      </c>
      <c r="BH74" s="93" t="s">
        <v>72</v>
      </c>
      <c r="BI74" s="32" cm="1">
        <f t="array" aca="1" ref="BI74" ca="1">_FV(EE74,"Beta")</f>
        <v>0.88470000000000004</v>
      </c>
      <c r="BJ74" s="96" cm="1">
        <f t="array" aca="1" ref="BJ74" ca="1">_FV(EE74,"Variação (%)",TRUE)</f>
        <v>1.3550000000000001E-3</v>
      </c>
      <c r="BK74" s="49"/>
      <c r="BL74" s="49"/>
      <c r="BN74" s="32"/>
      <c r="BO74" s="20" cm="1">
        <f t="array" aca="1" ref="BO74" ca="1">_FV(EE74,"Baixo")</f>
        <v>51.07</v>
      </c>
      <c r="BP74" s="20" cm="1">
        <f t="array" aca="1" ref="BP74" ca="1">_FV(EE74,"Alto")</f>
        <v>51.88</v>
      </c>
      <c r="BQ74" s="32"/>
      <c r="BR74" s="74">
        <f ca="1">SQRT(22.5*(BG74/VLOOKUP(BH74,Fundamentus!A:U,3,FALSE))*(BG74/VLOOKUP(BH74,Fundamentus!A:U,4,FALSE)))</f>
        <v>8.3312472493337832</v>
      </c>
      <c r="BT74" s="73">
        <f t="shared" ca="1" si="99"/>
        <v>-2.8002255215185151E-2</v>
      </c>
      <c r="BU74" s="36">
        <f t="shared" si="100"/>
        <v>0.28649318463444845</v>
      </c>
      <c r="BV74" s="8"/>
      <c r="BW74" s="72">
        <f t="shared" si="101"/>
        <v>36.76</v>
      </c>
      <c r="BX74" s="72">
        <f t="shared" si="102"/>
        <v>43.501637931034487</v>
      </c>
      <c r="BY74" s="72">
        <f t="shared" si="103"/>
        <v>53.21</v>
      </c>
      <c r="BZ74" s="17"/>
      <c r="CA74" s="17"/>
      <c r="CB74" s="43">
        <f t="shared" si="104"/>
        <v>51.919413376859666</v>
      </c>
      <c r="CC74" s="18">
        <f t="shared" si="105"/>
        <v>53.207619493907714</v>
      </c>
      <c r="CD74" s="43">
        <f t="shared" si="106"/>
        <v>54.495825610955762</v>
      </c>
      <c r="CE74" s="98">
        <f t="shared" ca="1" si="107"/>
        <v>-1.1547992780197527</v>
      </c>
      <c r="CF74" s="17"/>
      <c r="CG74" s="20">
        <f t="shared" si="108"/>
        <v>25.793333333333329</v>
      </c>
      <c r="CH74" s="20">
        <f t="shared" si="109"/>
        <v>31.276666666666664</v>
      </c>
      <c r="CI74" s="20">
        <f t="shared" si="110"/>
        <v>42.243333333333332</v>
      </c>
      <c r="CJ74" s="49">
        <f t="shared" si="111"/>
        <v>47.726666666666667</v>
      </c>
      <c r="CK74" s="20">
        <f t="shared" si="112"/>
        <v>58.693333333333335</v>
      </c>
      <c r="CL74" s="20">
        <f t="shared" si="113"/>
        <v>64.176666666666677</v>
      </c>
      <c r="CM74" s="20">
        <f t="shared" si="114"/>
        <v>75.143333333333345</v>
      </c>
      <c r="CN74" s="2" cm="1">
        <f t="array" aca="1" ref="CN74" ca="1">MAX(_xlfn._xlws.FILTER(CG74:CM74,CG74:CM74&lt;BG74))</f>
        <v>47.726666666666667</v>
      </c>
      <c r="CO74" s="2" cm="1">
        <f t="array" aca="1" ref="CO74" ca="1">MIN(_xlfn._xlws.FILTER($CG74:$CM74,$CG74:$CM74&gt;BG74))</f>
        <v>58.693333333333335</v>
      </c>
      <c r="CP74" s="19">
        <f t="shared" ca="1" si="82"/>
        <v>0.22978069562788095</v>
      </c>
      <c r="CQ74" s="23">
        <f t="shared" ca="1" si="83"/>
        <v>-0.11489034781394047</v>
      </c>
      <c r="CR74" s="23">
        <f t="shared" ca="1" si="84"/>
        <v>-7.6593565209293654E-2</v>
      </c>
      <c r="CS74" s="23">
        <f t="shared" ca="1" si="85"/>
        <v>-4.5956139125576188E-2</v>
      </c>
      <c r="CT74" s="23">
        <f t="shared" ca="1" si="86"/>
        <v>-2.5531188403097885E-2</v>
      </c>
      <c r="CU74" s="23">
        <f t="shared" ca="1" si="87"/>
        <v>-1.3516511507522408E-2</v>
      </c>
      <c r="CV74" s="23">
        <f t="shared" ca="1" si="88"/>
        <v>-6.9630513826630588E-3</v>
      </c>
      <c r="CW74" s="23">
        <f t="shared" ca="1" si="89"/>
        <v>-3.5350876250443224E-3</v>
      </c>
      <c r="CX74" s="24">
        <f t="shared" ca="1" si="90"/>
        <v>3.5350876250443224E-3</v>
      </c>
      <c r="CY74" s="24">
        <f t="shared" ca="1" si="91"/>
        <v>6.9630513826630588E-3</v>
      </c>
      <c r="CZ74" s="24">
        <f t="shared" ca="1" si="92"/>
        <v>1.3516511507522408E-2</v>
      </c>
      <c r="DA74" s="24">
        <f t="shared" ca="1" si="93"/>
        <v>2.5531188403097885E-2</v>
      </c>
      <c r="DB74" s="24">
        <f t="shared" ca="1" si="94"/>
        <v>4.5956139125576188E-2</v>
      </c>
      <c r="DC74" s="24">
        <f t="shared" ca="1" si="95"/>
        <v>7.6593565209293654E-2</v>
      </c>
      <c r="DD74" s="24">
        <f t="shared" ca="1" si="96"/>
        <v>0.11489034781394047</v>
      </c>
      <c r="DF74" s="19" cm="1">
        <f t="array" aca="1" ref="DF74" ca="1">MAX(_xlfn._xlws.FILTER(CQ74:DD74,CQ74:DD74&lt;BJ74))</f>
        <v>-3.5350876250443224E-3</v>
      </c>
      <c r="DG74" s="19" cm="1">
        <f t="array" aca="1" ref="DG74" ca="1">MIN(_xlfn._xlws.FILTER(CQ74:DD74,CQ74:DD74&gt;BJ74))</f>
        <v>3.5350876250443224E-3</v>
      </c>
      <c r="DH74" s="2" cm="1">
        <f t="array" aca="1" ref="DH74" ca="1">_FV(EE74,"Fechamento anterior",TRUE)</f>
        <v>51.65</v>
      </c>
      <c r="DI74" s="36">
        <f t="shared" ca="1" si="115"/>
        <v>0.69168915161376621</v>
      </c>
      <c r="DJ74" s="18">
        <f t="shared" ca="1" si="97"/>
        <v>51.467412724166458</v>
      </c>
      <c r="DK74" s="18">
        <f t="shared" ca="1" si="98"/>
        <v>51.832587275833539</v>
      </c>
      <c r="DL74" s="9"/>
      <c r="DM74" s="9"/>
      <c r="DN74" s="9"/>
      <c r="DO74" s="9"/>
      <c r="DP74" s="79">
        <v>9.3879492965682921E-3</v>
      </c>
      <c r="DQ74" s="79">
        <v>1.6068098417854792E-2</v>
      </c>
      <c r="DR74" s="79">
        <v>5.9979127018233219E-3</v>
      </c>
      <c r="DS74" s="79">
        <f t="shared" ca="1" si="116"/>
        <v>7.0701752500886448E-3</v>
      </c>
      <c r="DT74" s="47"/>
      <c r="DU74" s="43">
        <f t="shared" si="117"/>
        <v>0.64410305852402383</v>
      </c>
      <c r="DV74" s="83">
        <f t="shared" ca="1" si="118"/>
        <v>1.3108</v>
      </c>
      <c r="DW74" s="83">
        <f t="shared" ca="1" si="119"/>
        <v>0.74920000000000009</v>
      </c>
      <c r="DX74" s="83">
        <f t="shared" ca="1" si="120"/>
        <v>0.56159999999999988</v>
      </c>
      <c r="DY74" s="67"/>
      <c r="DZ74" s="67"/>
      <c r="EA74" s="85"/>
      <c r="EB74" s="44">
        <v>396200</v>
      </c>
      <c r="EC74" s="44" cm="1">
        <f t="array" aca="1" ref="EC74" ca="1">_FV(EE74,"Volume")</f>
        <v>402600</v>
      </c>
      <c r="EE74" s="2" t="e" vm="74">
        <v>#VALUE!</v>
      </c>
      <c r="EG74" s="10" cm="1">
        <f t="array" aca="1" ref="EG74" ca="1">_FV(EE74,"Ações em circulação",TRUE)</f>
        <v>88656280</v>
      </c>
      <c r="EH74" s="21">
        <f>VLOOKUP(BH74,Fundamentus!A:U,5,FALSE)</f>
        <v>4.7149999999999999</v>
      </c>
      <c r="EI74" s="2">
        <f t="shared" ca="1" si="121"/>
        <v>972492640.84835625</v>
      </c>
      <c r="EJ74" s="20">
        <v>43622199.093039237</v>
      </c>
      <c r="EK74" s="20">
        <f t="shared" ca="1" si="122"/>
        <v>42400679.140988335</v>
      </c>
      <c r="EM74" s="40" t="str">
        <f>IF(VLOOKUP(BH74,Fundamentus!A:U,3,FALSE)&lt;15,"Bom",IF(VLOOKUP(BH74,Fundamentus!A:U,3,FALSE)&gt;15,"Ruim","n/a"))</f>
        <v>Ruim</v>
      </c>
      <c r="EN74" s="36" t="str">
        <f>IF(VLOOKUP(BH74,Fundamentus!A:U,4,FALSE)&lt;1,"Baixo",IF(VLOOKUP(BH74,Fundamentus!A:U,4,FALSE)&lt;1.5,"Moderado",IF(VLOOKUP(BH74,Fundamentus!A:U,4,FALSE)&gt;1.5,"Alto","n/a")))</f>
        <v>Alto</v>
      </c>
      <c r="EO74" s="20" t="str">
        <f>IF(VLOOKUP(BH74,Fundamentus!A:U,8,FALSE)&lt;0,"Risco elevado",IF(VLOOKUP(BH74,Fundamentus!A:U,8,FALSE)&lt;1,"Saudável",IF(VLOOKUP(BH74,Fundamentus!A:U,8,FALSE)&lt;3,"Estável",IF(VLOOKUP(BH74,Fundamentus!A:U,8,FALSE)&gt;3,"Alerta","n/a"))))</f>
        <v>Alerta</v>
      </c>
      <c r="EP74" s="36" t="str">
        <f t="shared" si="123"/>
        <v>Bom</v>
      </c>
      <c r="EQ74" s="20" t="str">
        <f>IF(VLOOKUP(BH74,Fundamentus!A:U,12,FALSE)&lt;2,"Subvalorizada",IF(VLOOKUP(BH74,Fundamentus!A:U,12,FALSE)&lt;6,"Muita barata",IF(VLOOKUP(BH74,Fundamentus!A:U,12,FALSE)&lt;6,"Barata",IF(VLOOKUP(BH74,Fundamentus!A:U,12,FALSE)&lt;8,"Atrativa",IF(VLOOKUP(BH74,Fundamentus!A:U,12,FALSE)&gt;8,"Supervalorizada","n/a")))))</f>
        <v>Supervalorizada</v>
      </c>
      <c r="ES74" s="20" t="str">
        <f>IF(VLOOKUP(BH74,Fundamentus!A:U,17,FALSE)&lt;0.1,"Fraco retorno",IF(VLOOKUP(BH74,Fundamentus!A:U,17,FALSE)&gt;0.1,"Bom retorno","n/a"))</f>
        <v>Fraco retorno</v>
      </c>
      <c r="ET74" s="20" t="str">
        <f>IF(VLOOKUP(BH74,Fundamentus!A:U,16,FALSE)&lt;0.1,"Ineficiente",IF(VLOOKUP(BH74,Fundamentus!A:U,16,FALSE)&gt;0.1,"Eficiente","n/a"))</f>
        <v>Ineficiente</v>
      </c>
      <c r="EU74" s="41" t="str">
        <f>IF(VLOOKUP(BH74,Fundamentus!A:U,16,FALSE)&lt;0.1,"Oper. Ineficiente",IF(VLOOKUP(BH74,Fundamentus!A:U,16,FALSE)&gt;0.1,"Oper.Eficiente","n/a"))</f>
        <v>Oper. Ineficiente</v>
      </c>
      <c r="EV74" s="42">
        <f>VLOOKUP(BH74,Fundamentus!A:U,14,FALSE)</f>
        <v>4.36E-2</v>
      </c>
      <c r="EW74" s="20" t="str">
        <f>IF(VLOOKUP(BH74,Fundamentus!A:U,21,FALSE)&lt;0,"Negativo",IF(VLOOKUP(BH74,Fundamentus!A:U,21,FALSE)&lt;0.05,"Fraco",IF(VLOOKUP(BH74,Fundamentus!A:U,21,FALSE)&lt;0.1,"Bom",IF(VLOOKUP(BH74,Fundamentus!A:U,21,FALSE)&gt;0.1,"Muito bom","n/a"))))</f>
        <v>Muito bom</v>
      </c>
      <c r="EY74" s="37" t="str">
        <f>IF(VLOOKUP(BH74,Fundamentus!A:U,15,FALSE)&gt;1,"Bom",IF(VLOOKUP(BH74,Fundamentus!A:U,15,FALSE)&lt;1,"Ruim","n/a"))</f>
        <v>Bom</v>
      </c>
      <c r="EZ74" s="20" t="str">
        <f>IF(VLOOKUP(BH74,Fundamentus!A:U,20,FALSE)&lt;0.5,"Baixa",IF(VLOOKUP(BH74,Fundamentus!A:U,20,FALSE)&lt;1,"Moderada",IF(VLOOKUP(BH74,Fundamentus!A:U,20,FALSE)&lt;2,"Alerta",IF(VLOOKUP(BH74,Fundamentus!A:U,20,FALSE)&gt;2,"Alta","n/a"))))</f>
        <v>Alta</v>
      </c>
      <c r="FA74" s="10"/>
    </row>
    <row r="75" spans="1:157" s="2" customFormat="1" ht="11.25" hidden="1" x14ac:dyDescent="0.2">
      <c r="A75" s="4">
        <v>44.5</v>
      </c>
      <c r="B75" s="4">
        <v>39.51</v>
      </c>
      <c r="C75" s="4">
        <v>37.42</v>
      </c>
      <c r="D75" s="4">
        <v>33.56</v>
      </c>
      <c r="E75" s="4">
        <v>31.41</v>
      </c>
      <c r="F75" s="4">
        <v>31.64</v>
      </c>
      <c r="G75" s="4">
        <v>31.93</v>
      </c>
      <c r="H75" s="4">
        <v>31.63</v>
      </c>
      <c r="I75" s="4">
        <v>31.6</v>
      </c>
      <c r="J75" s="4">
        <v>30.6</v>
      </c>
      <c r="K75" s="4">
        <v>31.47</v>
      </c>
      <c r="L75" s="4">
        <v>29.99</v>
      </c>
      <c r="M75" s="4">
        <v>29.21</v>
      </c>
      <c r="N75" s="4">
        <v>28.65</v>
      </c>
      <c r="O75" s="4">
        <v>29.44</v>
      </c>
      <c r="P75" s="4">
        <v>44.53</v>
      </c>
      <c r="Q75" s="4">
        <v>47.93</v>
      </c>
      <c r="R75" s="4">
        <v>48.38</v>
      </c>
      <c r="S75" s="4">
        <v>49.89</v>
      </c>
      <c r="T75" s="4">
        <v>47.34</v>
      </c>
      <c r="U75" s="4">
        <v>45.22</v>
      </c>
      <c r="V75" s="4">
        <v>45.55</v>
      </c>
      <c r="W75" s="4">
        <v>44.59</v>
      </c>
      <c r="X75" s="4">
        <v>43.47</v>
      </c>
      <c r="Y75" s="4">
        <v>41.88</v>
      </c>
      <c r="Z75" s="4">
        <v>41.35</v>
      </c>
      <c r="AA75" s="4">
        <v>41.69</v>
      </c>
      <c r="AB75" s="4">
        <v>40.82</v>
      </c>
      <c r="AC75" s="4">
        <v>40</v>
      </c>
      <c r="AD75" s="4">
        <v>39.43</v>
      </c>
      <c r="AE75" s="4">
        <v>41</v>
      </c>
      <c r="AF75" s="4">
        <v>38.96</v>
      </c>
      <c r="AG75" s="4">
        <v>39.5</v>
      </c>
      <c r="AH75" s="4">
        <v>38.5</v>
      </c>
      <c r="AI75" s="4">
        <v>43.35</v>
      </c>
      <c r="AJ75" s="4">
        <v>42.05</v>
      </c>
      <c r="AK75" s="4">
        <v>46.08</v>
      </c>
      <c r="AL75" s="4">
        <v>52.21</v>
      </c>
      <c r="AM75" s="4">
        <v>49.6</v>
      </c>
      <c r="AN75" s="4">
        <v>52.9</v>
      </c>
      <c r="AO75" s="4">
        <v>51.97</v>
      </c>
      <c r="AP75" s="4">
        <v>57.08</v>
      </c>
      <c r="AQ75" s="4">
        <v>54.17</v>
      </c>
      <c r="AR75" s="4">
        <v>47.14</v>
      </c>
      <c r="AS75" s="4">
        <v>46.91</v>
      </c>
      <c r="AT75" s="4">
        <v>48.54</v>
      </c>
      <c r="AU75" s="4">
        <v>51.994999999999997</v>
      </c>
      <c r="AV75" s="4">
        <v>52.21</v>
      </c>
      <c r="AW75" s="4">
        <v>48.82</v>
      </c>
      <c r="AX75" s="4">
        <v>44.63</v>
      </c>
      <c r="AY75" s="12">
        <v>46.03</v>
      </c>
      <c r="AZ75" s="12">
        <v>48.08</v>
      </c>
      <c r="BA75" s="12">
        <v>47.83</v>
      </c>
      <c r="BB75" s="18">
        <v>47.32</v>
      </c>
      <c r="BC75" s="63">
        <v>46.76</v>
      </c>
      <c r="BD75" s="63">
        <v>46.45</v>
      </c>
      <c r="BE75" s="63">
        <v>49.16</v>
      </c>
      <c r="BF75" s="63">
        <v>50.79</v>
      </c>
      <c r="BG75" s="91" cm="1">
        <f t="array" aca="1" ref="BG75" ca="1">_FV(EE75,"Preço")</f>
        <v>47.05</v>
      </c>
      <c r="BH75" s="93" t="s">
        <v>73</v>
      </c>
      <c r="BI75" s="32" cm="1">
        <f t="array" aca="1" ref="BI75" ca="1">_FV(EE75,"Beta")</f>
        <v>1.3090999999999999</v>
      </c>
      <c r="BJ75" s="96" cm="1">
        <f t="array" aca="1" ref="BJ75" ca="1">_FV(EE75,"Variação (%)",TRUE)</f>
        <v>-3.2092000000000002E-2</v>
      </c>
      <c r="BK75" s="49"/>
      <c r="BL75" s="49"/>
      <c r="BN75" s="32"/>
      <c r="BO75" s="20" cm="1">
        <f t="array" aca="1" ref="BO75" ca="1">_FV(EE75,"Baixo")</f>
        <v>46.94</v>
      </c>
      <c r="BP75" s="20" cm="1">
        <f t="array" aca="1" ref="BP75" ca="1">_FV(EE75,"Alto")</f>
        <v>48.49</v>
      </c>
      <c r="BQ75" s="32"/>
      <c r="BR75" s="74" t="e">
        <f ca="1">SQRT(22.5*(BG75/VLOOKUP(BH75,Fundamentus!A:U,3,FALSE))*(BG75/VLOOKUP(BH75,Fundamentus!A:U,4,FALSE)))</f>
        <v>#NUM!</v>
      </c>
      <c r="BT75" s="73">
        <f t="shared" ca="1" si="99"/>
        <v>-7.3636542626501322E-2</v>
      </c>
      <c r="BU75" s="36">
        <f t="shared" si="100"/>
        <v>0.10471910112359543</v>
      </c>
      <c r="BV75" s="8"/>
      <c r="BW75" s="72">
        <f t="shared" si="101"/>
        <v>28.65</v>
      </c>
      <c r="BX75" s="72">
        <f t="shared" si="102"/>
        <v>42.839051724137938</v>
      </c>
      <c r="BY75" s="72">
        <f t="shared" si="103"/>
        <v>57.08</v>
      </c>
      <c r="BZ75" s="17"/>
      <c r="CA75" s="17"/>
      <c r="CB75" s="43">
        <f t="shared" si="104"/>
        <v>48.270280173638582</v>
      </c>
      <c r="CC75" s="18">
        <f t="shared" si="105"/>
        <v>51.83866916588704</v>
      </c>
      <c r="CD75" s="43">
        <f t="shared" si="106"/>
        <v>55.407058158135499</v>
      </c>
      <c r="CE75" s="98">
        <f t="shared" ca="1" si="107"/>
        <v>-1.3419694927569208</v>
      </c>
      <c r="CF75" s="17"/>
      <c r="CG75" s="20">
        <f t="shared" si="108"/>
        <v>5.5033333333333232</v>
      </c>
      <c r="CH75" s="20">
        <f t="shared" si="109"/>
        <v>17.076666666666661</v>
      </c>
      <c r="CI75" s="20">
        <f t="shared" si="110"/>
        <v>33.933333333333323</v>
      </c>
      <c r="CJ75" s="49">
        <f t="shared" si="111"/>
        <v>45.506666666666661</v>
      </c>
      <c r="CK75" s="20">
        <f t="shared" si="112"/>
        <v>62.363333333333323</v>
      </c>
      <c r="CL75" s="20">
        <f t="shared" si="113"/>
        <v>73.936666666666667</v>
      </c>
      <c r="CM75" s="20">
        <f t="shared" si="114"/>
        <v>90.793333333333322</v>
      </c>
      <c r="CN75" s="2" cm="1">
        <f t="array" aca="1" ref="CN75" ca="1">MAX(_xlfn._xlws.FILTER(CG75:CM75,CG75:CM75&lt;BG75))</f>
        <v>45.506666666666661</v>
      </c>
      <c r="CO75" s="2" cm="1">
        <f t="array" aca="1" ref="CO75" ca="1">MIN(_xlfn._xlws.FILTER($CG75:$CM75,$CG75:$CM75&gt;BG75))</f>
        <v>62.363333333333323</v>
      </c>
      <c r="CP75" s="19">
        <f t="shared" ca="1" si="82"/>
        <v>0.37042191620275422</v>
      </c>
      <c r="CQ75" s="23">
        <f t="shared" ca="1" si="83"/>
        <v>-0.18521095810137711</v>
      </c>
      <c r="CR75" s="23">
        <f t="shared" ca="1" si="84"/>
        <v>-0.12347397206758474</v>
      </c>
      <c r="CS75" s="23">
        <f t="shared" ca="1" si="85"/>
        <v>-7.4084383240550847E-2</v>
      </c>
      <c r="CT75" s="23">
        <f t="shared" ca="1" si="86"/>
        <v>-4.1157990689194915E-2</v>
      </c>
      <c r="CU75" s="23">
        <f t="shared" ca="1" si="87"/>
        <v>-2.1789524482514953E-2</v>
      </c>
      <c r="CV75" s="23">
        <f t="shared" ca="1" si="88"/>
        <v>-1.1224906551598612E-2</v>
      </c>
      <c r="CW75" s="23">
        <f t="shared" ca="1" si="89"/>
        <v>-5.6987987108116037E-3</v>
      </c>
      <c r="CX75" s="24">
        <f t="shared" ca="1" si="90"/>
        <v>5.6987987108116037E-3</v>
      </c>
      <c r="CY75" s="24">
        <f t="shared" ca="1" si="91"/>
        <v>1.1224906551598612E-2</v>
      </c>
      <c r="CZ75" s="24">
        <f t="shared" ca="1" si="92"/>
        <v>2.1789524482514953E-2</v>
      </c>
      <c r="DA75" s="24">
        <f t="shared" ca="1" si="93"/>
        <v>4.1157990689194915E-2</v>
      </c>
      <c r="DB75" s="24">
        <f t="shared" ca="1" si="94"/>
        <v>7.4084383240550847E-2</v>
      </c>
      <c r="DC75" s="24">
        <f t="shared" ca="1" si="95"/>
        <v>0.12347397206758474</v>
      </c>
      <c r="DD75" s="24">
        <f t="shared" ca="1" si="96"/>
        <v>0.18521095810137711</v>
      </c>
      <c r="DF75" s="19" cm="1">
        <f t="array" aca="1" ref="DF75" ca="1">MAX(_xlfn._xlws.FILTER(CQ75:DD75,CQ75:DD75&lt;BJ75))</f>
        <v>-4.1157990689194915E-2</v>
      </c>
      <c r="DG75" s="19" cm="1">
        <f t="array" aca="1" ref="DG75" ca="1">MIN(_xlfn._xlws.FILTER(CQ75:DD75,CQ75:DD75&gt;BJ75))</f>
        <v>-2.1789524482514953E-2</v>
      </c>
      <c r="DH75" s="2" cm="1">
        <f t="array" aca="1" ref="DH75" ca="1">_FV(EE75,"Fechamento anterior",TRUE)</f>
        <v>48.61</v>
      </c>
      <c r="DI75" s="36">
        <f t="shared" ca="1" si="115"/>
        <v>0.46807158015980371</v>
      </c>
      <c r="DJ75" s="18">
        <f t="shared" ca="1" si="97"/>
        <v>46.609310072598234</v>
      </c>
      <c r="DK75" s="18">
        <f t="shared" ca="1" si="98"/>
        <v>47.550811214904947</v>
      </c>
      <c r="DL75" s="9"/>
      <c r="DM75" s="9"/>
      <c r="DN75" s="9"/>
      <c r="DO75" s="9"/>
      <c r="DP75" s="79">
        <v>1.7778500481049356E-2</v>
      </c>
      <c r="DQ75" s="79">
        <v>9.6973638987541966E-3</v>
      </c>
      <c r="DR75" s="79">
        <v>1.0461963744617508E-2</v>
      </c>
      <c r="DS75" s="79">
        <f t="shared" ca="1" si="116"/>
        <v>1.9368466206679962E-2</v>
      </c>
      <c r="DT75" s="47"/>
      <c r="DU75" s="43">
        <f t="shared" si="117"/>
        <v>1.7841944961242304</v>
      </c>
      <c r="DV75" s="83">
        <f t="shared" ca="1" si="118"/>
        <v>1.7351999999999999</v>
      </c>
      <c r="DW75" s="83">
        <f t="shared" ca="1" si="119"/>
        <v>4.5183</v>
      </c>
      <c r="DX75" s="83">
        <f t="shared" ca="1" si="120"/>
        <v>-2.7831000000000001</v>
      </c>
      <c r="DY75" s="67"/>
      <c r="DZ75" s="67"/>
      <c r="EA75" s="85"/>
      <c r="EB75" s="44">
        <v>746500</v>
      </c>
      <c r="EC75" s="44" cm="1">
        <f t="array" aca="1" ref="EC75" ca="1">_FV(EE75,"Volume")</f>
        <v>885200</v>
      </c>
      <c r="EE75" s="2" t="e" vm="75">
        <v>#VALUE!</v>
      </c>
      <c r="EG75" s="10" cm="1">
        <f t="array" aca="1" ref="EG75" ca="1">_FV(EE75,"Ações em circulação",TRUE)</f>
        <v>81842890</v>
      </c>
      <c r="EH75" s="21">
        <f>VLOOKUP(BH75,Fundamentus!A:U,5,FALSE)</f>
        <v>0.69199999999999995</v>
      </c>
      <c r="EI75" s="2">
        <f t="shared" ca="1" si="121"/>
        <v>5564606899.566474</v>
      </c>
      <c r="EJ75" s="20">
        <v>-102718622.18354048</v>
      </c>
      <c r="EK75" s="20">
        <f t="shared" ca="1" si="122"/>
        <v>-95154777.982586712</v>
      </c>
      <c r="EM75" s="40" t="str">
        <f>IF(VLOOKUP(BH75,Fundamentus!A:U,3,FALSE)&lt;15,"Bom",IF(VLOOKUP(BH75,Fundamentus!A:U,3,FALSE)&gt;15,"Ruim","n/a"))</f>
        <v>Bom</v>
      </c>
      <c r="EN75" s="36" t="str">
        <f>IF(VLOOKUP(BH75,Fundamentus!A:U,4,FALSE)&lt;1,"Baixo",IF(VLOOKUP(BH75,Fundamentus!A:U,4,FALSE)&lt;1.5,"Moderado",IF(VLOOKUP(BH75,Fundamentus!A:U,4,FALSE)&gt;1.5,"Alto","n/a")))</f>
        <v>Baixo</v>
      </c>
      <c r="EO75" s="20" t="str">
        <f>IF(VLOOKUP(BH75,Fundamentus!A:U,8,FALSE)&lt;0,"Risco elevado",IF(VLOOKUP(BH75,Fundamentus!A:U,8,FALSE)&lt;1,"Saudável",IF(VLOOKUP(BH75,Fundamentus!A:U,8,FALSE)&lt;3,"Estável",IF(VLOOKUP(BH75,Fundamentus!A:U,8,FALSE)&gt;3,"Alerta","n/a"))))</f>
        <v>Saudável</v>
      </c>
      <c r="EP75" s="36" t="str">
        <f t="shared" si="123"/>
        <v>Ruim</v>
      </c>
      <c r="EQ75" s="20" t="str">
        <f>IF(VLOOKUP(BH75,Fundamentus!A:U,12,FALSE)&lt;2,"Subvalorizada",IF(VLOOKUP(BH75,Fundamentus!A:U,12,FALSE)&lt;6,"Muita barata",IF(VLOOKUP(BH75,Fundamentus!A:U,12,FALSE)&lt;6,"Barata",IF(VLOOKUP(BH75,Fundamentus!A:U,12,FALSE)&lt;8,"Atrativa",IF(VLOOKUP(BH75,Fundamentus!A:U,12,FALSE)&gt;8,"Supervalorizada","n/a")))))</f>
        <v>Subvalorizada</v>
      </c>
      <c r="ES75" s="20" t="str">
        <f>IF(VLOOKUP(BH75,Fundamentus!A:U,17,FALSE)&lt;0.1,"Fraco retorno",IF(VLOOKUP(BH75,Fundamentus!A:U,17,FALSE)&gt;0.1,"Bom retorno","n/a"))</f>
        <v>Fraco retorno</v>
      </c>
      <c r="ET75" s="20" t="str">
        <f>IF(VLOOKUP(BH75,Fundamentus!A:U,16,FALSE)&lt;0.1,"Ineficiente",IF(VLOOKUP(BH75,Fundamentus!A:U,16,FALSE)&gt;0.1,"Eficiente","n/a"))</f>
        <v>Ineficiente</v>
      </c>
      <c r="EU75" s="41" t="str">
        <f>IF(VLOOKUP(BH75,Fundamentus!A:U,16,FALSE)&lt;0.1,"Oper. Ineficiente",IF(VLOOKUP(BH75,Fundamentus!A:U,16,FALSE)&gt;0.1,"Oper.Eficiente","n/a"))</f>
        <v>Oper. Ineficiente</v>
      </c>
      <c r="EV75" s="42">
        <f>VLOOKUP(BH75,Fundamentus!A:U,14,FALSE)</f>
        <v>-1.7100000000000001E-2</v>
      </c>
      <c r="EW75" s="20" t="str">
        <f>IF(VLOOKUP(BH75,Fundamentus!A:U,21,FALSE)&lt;0,"Negativo",IF(VLOOKUP(BH75,Fundamentus!A:U,21,FALSE)&lt;0.05,"Fraco",IF(VLOOKUP(BH75,Fundamentus!A:U,21,FALSE)&lt;0.1,"Bom",IF(VLOOKUP(BH75,Fundamentus!A:U,21,FALSE)&gt;0.1,"Muito bom","n/a"))))</f>
        <v>Fraco</v>
      </c>
      <c r="EY75" s="37" t="str">
        <f>IF(VLOOKUP(BH75,Fundamentus!A:U,15,FALSE)&gt;1,"Bom",IF(VLOOKUP(BH75,Fundamentus!A:U,15,FALSE)&lt;1,"Ruim","n/a"))</f>
        <v>Ruim</v>
      </c>
      <c r="EZ75" s="20" t="str">
        <f>IF(VLOOKUP(BH75,Fundamentus!A:U,20,FALSE)&lt;0.5,"Baixa",IF(VLOOKUP(BH75,Fundamentus!A:U,20,FALSE)&lt;1,"Moderada",IF(VLOOKUP(BH75,Fundamentus!A:U,20,FALSE)&lt;2,"Alerta",IF(VLOOKUP(BH75,Fundamentus!A:U,20,FALSE)&gt;2,"Alta","n/a"))))</f>
        <v>Baixa</v>
      </c>
      <c r="FA75" s="10"/>
    </row>
    <row r="76" spans="1:157" s="2" customFormat="1" ht="11.25" hidden="1" x14ac:dyDescent="0.2">
      <c r="A76" s="4">
        <v>9.85</v>
      </c>
      <c r="B76" s="4">
        <v>10.130000000000001</v>
      </c>
      <c r="C76" s="4">
        <v>11.29</v>
      </c>
      <c r="D76" s="4">
        <v>11.64</v>
      </c>
      <c r="E76" s="4">
        <v>11.94</v>
      </c>
      <c r="F76" s="4">
        <v>11.75</v>
      </c>
      <c r="G76" s="4">
        <v>11.35</v>
      </c>
      <c r="H76" s="4">
        <v>11.45</v>
      </c>
      <c r="I76" s="4">
        <v>11.2</v>
      </c>
      <c r="J76" s="4">
        <v>11.19</v>
      </c>
      <c r="K76" s="4">
        <v>11.28</v>
      </c>
      <c r="L76" s="4">
        <v>11.44</v>
      </c>
      <c r="M76" s="4">
        <v>11.55</v>
      </c>
      <c r="N76" s="4">
        <v>12.43</v>
      </c>
      <c r="O76" s="4">
        <v>15.86</v>
      </c>
      <c r="P76" s="4">
        <v>15</v>
      </c>
      <c r="Q76" s="4">
        <v>13.03</v>
      </c>
      <c r="R76" s="4">
        <v>13.49</v>
      </c>
      <c r="S76" s="4">
        <v>15.41</v>
      </c>
      <c r="T76" s="4">
        <v>14.37</v>
      </c>
      <c r="U76" s="4">
        <v>14.07</v>
      </c>
      <c r="V76" s="4">
        <v>14.32</v>
      </c>
      <c r="W76" s="4">
        <v>14.04</v>
      </c>
      <c r="X76" s="4">
        <v>13.82</v>
      </c>
      <c r="Y76" s="4">
        <v>13.08</v>
      </c>
      <c r="Z76" s="4">
        <v>13.5</v>
      </c>
      <c r="AA76" s="4">
        <v>13.23</v>
      </c>
      <c r="AB76" s="4">
        <v>14.97</v>
      </c>
      <c r="AC76" s="4">
        <v>14.49</v>
      </c>
      <c r="AD76" s="4">
        <v>13.86</v>
      </c>
      <c r="AE76" s="4">
        <v>14.28</v>
      </c>
      <c r="AF76" s="4">
        <v>13.68</v>
      </c>
      <c r="AG76" s="4">
        <v>13.26</v>
      </c>
      <c r="AH76" s="4">
        <v>13.03</v>
      </c>
      <c r="AI76" s="4">
        <v>13.33</v>
      </c>
      <c r="AJ76" s="4">
        <v>13.22</v>
      </c>
      <c r="AK76" s="4">
        <v>13.16</v>
      </c>
      <c r="AL76" s="4">
        <v>13.6</v>
      </c>
      <c r="AM76" s="4">
        <v>13.88</v>
      </c>
      <c r="AN76" s="4">
        <v>13.63</v>
      </c>
      <c r="AO76" s="4">
        <v>13.84</v>
      </c>
      <c r="AP76" s="4">
        <v>13.52</v>
      </c>
      <c r="AQ76" s="4">
        <v>13.39</v>
      </c>
      <c r="AR76" s="4">
        <v>13.1</v>
      </c>
      <c r="AS76" s="4">
        <v>13.78</v>
      </c>
      <c r="AT76" s="4">
        <v>13</v>
      </c>
      <c r="AU76" s="4">
        <v>13.085000000000001</v>
      </c>
      <c r="AV76" s="4">
        <v>13.82</v>
      </c>
      <c r="AW76" s="4">
        <v>13.39</v>
      </c>
      <c r="AX76" s="4">
        <v>13.5</v>
      </c>
      <c r="AY76" s="12">
        <v>14.22</v>
      </c>
      <c r="AZ76" s="12">
        <v>14.22</v>
      </c>
      <c r="BA76" s="12">
        <v>13.97</v>
      </c>
      <c r="BB76" s="18">
        <v>14.07</v>
      </c>
      <c r="BC76" s="63">
        <v>15.38</v>
      </c>
      <c r="BD76" s="63">
        <v>14.57</v>
      </c>
      <c r="BE76" s="63">
        <v>14.62</v>
      </c>
      <c r="BF76" s="63">
        <v>14.42</v>
      </c>
      <c r="BG76" s="91" cm="1">
        <f t="array" aca="1" ref="BG76" ca="1">_FV(EE76,"Preço")</f>
        <v>14.65</v>
      </c>
      <c r="BH76" s="93" t="s">
        <v>74</v>
      </c>
      <c r="BI76" s="32" cm="1">
        <f t="array" aca="1" ref="BI76" ca="1">_FV(EE76,"Beta")</f>
        <v>0.55610000000000004</v>
      </c>
      <c r="BJ76" s="96" cm="1">
        <f t="array" aca="1" ref="BJ76" ca="1">_FV(EE76,"Variação (%)",TRUE)</f>
        <v>0</v>
      </c>
      <c r="BK76" s="49"/>
      <c r="BL76" s="49"/>
      <c r="BN76" s="32"/>
      <c r="BO76" s="20" cm="1">
        <f t="array" aca="1" ref="BO76" ca="1">_FV(EE76,"Baixo")</f>
        <v>14.42</v>
      </c>
      <c r="BP76" s="20" cm="1">
        <f t="array" aca="1" ref="BP76" ca="1">_FV(EE76,"Alto")</f>
        <v>14.7</v>
      </c>
      <c r="BQ76" s="32"/>
      <c r="BR76" s="74">
        <f ca="1">SQRT(22.5*(BG76/VLOOKUP(BH76,Fundamentus!A:U,3,FALSE))*(BG76/VLOOKUP(BH76,Fundamentus!A:U,4,FALSE)))</f>
        <v>37.931932339019227</v>
      </c>
      <c r="BT76" s="73">
        <f t="shared" ca="1" si="99"/>
        <v>1.5950069348127632E-2</v>
      </c>
      <c r="BU76" s="36">
        <f t="shared" si="100"/>
        <v>0.48426395939086292</v>
      </c>
      <c r="BV76" s="8"/>
      <c r="BW76" s="72">
        <f t="shared" si="101"/>
        <v>9.85</v>
      </c>
      <c r="BX76" s="72">
        <f t="shared" si="102"/>
        <v>13.275775862068972</v>
      </c>
      <c r="BY76" s="72">
        <f t="shared" si="103"/>
        <v>15.86</v>
      </c>
      <c r="BZ76" s="17"/>
      <c r="CA76" s="17"/>
      <c r="CB76" s="43">
        <f t="shared" si="104"/>
        <v>13.301283219716383</v>
      </c>
      <c r="CC76" s="18">
        <f t="shared" si="105"/>
        <v>14.046316776007643</v>
      </c>
      <c r="CD76" s="43">
        <f t="shared" si="106"/>
        <v>14.791350332298903</v>
      </c>
      <c r="CE76" s="98">
        <f t="shared" ca="1" si="107"/>
        <v>0.81027655586073566</v>
      </c>
      <c r="CF76" s="17"/>
      <c r="CG76" s="20">
        <f t="shared" si="108"/>
        <v>4.8833333333333346</v>
      </c>
      <c r="CH76" s="20">
        <f t="shared" si="109"/>
        <v>7.3666666666666671</v>
      </c>
      <c r="CI76" s="20">
        <f t="shared" si="110"/>
        <v>10.893333333333334</v>
      </c>
      <c r="CJ76" s="49">
        <f t="shared" si="111"/>
        <v>13.376666666666667</v>
      </c>
      <c r="CK76" s="20">
        <f t="shared" si="112"/>
        <v>16.903333333333336</v>
      </c>
      <c r="CL76" s="20">
        <f t="shared" si="113"/>
        <v>19.386666666666667</v>
      </c>
      <c r="CM76" s="20">
        <f t="shared" si="114"/>
        <v>22.913333333333334</v>
      </c>
      <c r="CN76" s="2" cm="1">
        <f t="array" aca="1" ref="CN76" ca="1">MAX(_xlfn._xlws.FILTER(CG76:CM76,CG76:CM76&lt;BG76))</f>
        <v>13.376666666666667</v>
      </c>
      <c r="CO76" s="2" cm="1">
        <f t="array" aca="1" ref="CO76" ca="1">MIN(_xlfn._xlws.FILTER($CG76:$CM76,$CG76:$CM76&gt;BG76))</f>
        <v>16.903333333333336</v>
      </c>
      <c r="CP76" s="19">
        <f t="shared" ca="1" si="82"/>
        <v>0.26364315973087482</v>
      </c>
      <c r="CQ76" s="23">
        <f t="shared" ca="1" si="83"/>
        <v>-0.13182157986543741</v>
      </c>
      <c r="CR76" s="23">
        <f t="shared" ca="1" si="84"/>
        <v>-8.788105324362494E-2</v>
      </c>
      <c r="CS76" s="23">
        <f t="shared" ca="1" si="85"/>
        <v>-5.2728631946174963E-2</v>
      </c>
      <c r="CT76" s="23">
        <f t="shared" ca="1" si="86"/>
        <v>-2.9293684414541648E-2</v>
      </c>
      <c r="CU76" s="23">
        <f t="shared" ca="1" si="87"/>
        <v>-1.5508421160639696E-2</v>
      </c>
      <c r="CV76" s="23">
        <f t="shared" ca="1" si="88"/>
        <v>-7.9891866585113588E-3</v>
      </c>
      <c r="CW76" s="23">
        <f t="shared" ca="1" si="89"/>
        <v>-4.0560486112442284E-3</v>
      </c>
      <c r="CX76" s="24">
        <f t="shared" ca="1" si="90"/>
        <v>4.0560486112442284E-3</v>
      </c>
      <c r="CY76" s="24">
        <f t="shared" ca="1" si="91"/>
        <v>7.9891866585113588E-3</v>
      </c>
      <c r="CZ76" s="24">
        <f t="shared" ca="1" si="92"/>
        <v>1.5508421160639696E-2</v>
      </c>
      <c r="DA76" s="24">
        <f t="shared" ca="1" si="93"/>
        <v>2.9293684414541648E-2</v>
      </c>
      <c r="DB76" s="24">
        <f t="shared" ca="1" si="94"/>
        <v>5.2728631946174963E-2</v>
      </c>
      <c r="DC76" s="24">
        <f t="shared" ca="1" si="95"/>
        <v>8.788105324362494E-2</v>
      </c>
      <c r="DD76" s="24">
        <f t="shared" ca="1" si="96"/>
        <v>0.13182157986543741</v>
      </c>
      <c r="DF76" s="19" cm="1">
        <f t="array" aca="1" ref="DF76" ca="1">MAX(_xlfn._xlws.FILTER(CQ76:DD76,CQ76:DD76&lt;BJ76))</f>
        <v>-4.0560486112442284E-3</v>
      </c>
      <c r="DG76" s="19" cm="1">
        <f t="array" aca="1" ref="DG76" ca="1">MIN(_xlfn._xlws.FILTER(CQ76:DD76,CQ76:DD76&gt;BJ76))</f>
        <v>4.0560486112442284E-3</v>
      </c>
      <c r="DH76" s="2" cm="1">
        <f t="array" aca="1" ref="DH76" ca="1">_FV(EE76,"Fechamento anterior",TRUE)</f>
        <v>14.65</v>
      </c>
      <c r="DI76" s="36">
        <f t="shared" ca="1" si="115"/>
        <v>0.5</v>
      </c>
      <c r="DJ76" s="18">
        <f t="shared" ca="1" si="97"/>
        <v>14.590578887845272</v>
      </c>
      <c r="DK76" s="18">
        <f t="shared" ca="1" si="98"/>
        <v>14.709421112154729</v>
      </c>
      <c r="DL76" s="9"/>
      <c r="DM76" s="9"/>
      <c r="DN76" s="9"/>
      <c r="DO76" s="9"/>
      <c r="DP76" s="79">
        <v>8.2467259871779486E-3</v>
      </c>
      <c r="DQ76" s="79">
        <v>1.5118997643159576E-2</v>
      </c>
      <c r="DR76" s="79">
        <v>8.2467259871779486E-3</v>
      </c>
      <c r="DS76" s="79">
        <f t="shared" ca="1" si="116"/>
        <v>8.1120972224884569E-3</v>
      </c>
      <c r="DT76" s="47"/>
      <c r="DU76" s="43">
        <f t="shared" si="117"/>
        <v>0.37251677814562967</v>
      </c>
      <c r="DV76" s="83">
        <f t="shared" ca="1" si="118"/>
        <v>0.98219999999999996</v>
      </c>
      <c r="DW76" s="83">
        <f t="shared" ca="1" si="119"/>
        <v>0.55610000000000004</v>
      </c>
      <c r="DX76" s="83">
        <f t="shared" ca="1" si="120"/>
        <v>0.42609999999999992</v>
      </c>
      <c r="DY76" s="67"/>
      <c r="DZ76" s="67"/>
      <c r="EA76" s="85"/>
      <c r="EB76" s="44">
        <v>3700</v>
      </c>
      <c r="EC76" s="44" cm="1">
        <f t="array" aca="1" ref="EC76" ca="1">_FV(EE76,"Volume")</f>
        <v>5500</v>
      </c>
      <c r="EE76" s="2" t="e" vm="76">
        <v>#VALUE!</v>
      </c>
      <c r="EG76" s="10" cm="1">
        <f t="array" aca="1" ref="EG76" ca="1">_FV(EE76,"Ações em circulação",TRUE)</f>
        <v>22500000</v>
      </c>
      <c r="EH76" s="21">
        <f>VLOOKUP(BH76,Fundamentus!A:U,5,FALSE)</f>
        <v>0.55800000000000005</v>
      </c>
      <c r="EI76" s="2">
        <f t="shared" ca="1" si="121"/>
        <v>590725806.45161283</v>
      </c>
      <c r="EJ76" s="20">
        <v>93788145.161290318</v>
      </c>
      <c r="EK76" s="20">
        <f t="shared" ca="1" si="122"/>
        <v>95284072.580645144</v>
      </c>
      <c r="EM76" s="40" t="str">
        <f>IF(VLOOKUP(BH76,Fundamentus!A:U,3,FALSE)&lt;15,"Bom",IF(VLOOKUP(BH76,Fundamentus!A:U,3,FALSE)&gt;15,"Ruim","n/a"))</f>
        <v>Bom</v>
      </c>
      <c r="EN76" s="36" t="str">
        <f>IF(VLOOKUP(BH76,Fundamentus!A:U,4,FALSE)&lt;1,"Baixo",IF(VLOOKUP(BH76,Fundamentus!A:U,4,FALSE)&lt;1.5,"Moderado",IF(VLOOKUP(BH76,Fundamentus!A:U,4,FALSE)&gt;1.5,"Alto","n/a")))</f>
        <v>Baixo</v>
      </c>
      <c r="EO76" s="20" t="str">
        <f>IF(VLOOKUP(BH76,Fundamentus!A:U,8,FALSE)&lt;0,"Risco elevado",IF(VLOOKUP(BH76,Fundamentus!A:U,8,FALSE)&lt;1,"Saudável",IF(VLOOKUP(BH76,Fundamentus!A:U,8,FALSE)&lt;3,"Estável",IF(VLOOKUP(BH76,Fundamentus!A:U,8,FALSE)&gt;3,"Alerta","n/a"))))</f>
        <v>Alerta</v>
      </c>
      <c r="EP76" s="36" t="str">
        <f t="shared" si="123"/>
        <v>Ruim</v>
      </c>
      <c r="EQ76" s="20" t="str">
        <f>IF(VLOOKUP(BH76,Fundamentus!A:U,12,FALSE)&lt;2,"Subvalorizada",IF(VLOOKUP(BH76,Fundamentus!A:U,12,FALSE)&lt;6,"Muita barata",IF(VLOOKUP(BH76,Fundamentus!A:U,12,FALSE)&lt;6,"Barata",IF(VLOOKUP(BH76,Fundamentus!A:U,12,FALSE)&lt;8,"Atrativa",IF(VLOOKUP(BH76,Fundamentus!A:U,12,FALSE)&gt;8,"Supervalorizada","n/a")))))</f>
        <v>Muita barata</v>
      </c>
      <c r="ES76" s="20" t="str">
        <f>IF(VLOOKUP(BH76,Fundamentus!A:U,17,FALSE)&lt;0.1,"Fraco retorno",IF(VLOOKUP(BH76,Fundamentus!A:U,17,FALSE)&gt;0.1,"Bom retorno","n/a"))</f>
        <v>Bom retorno</v>
      </c>
      <c r="ET76" s="20" t="str">
        <f>IF(VLOOKUP(BH76,Fundamentus!A:U,16,FALSE)&lt;0.1,"Ineficiente",IF(VLOOKUP(BH76,Fundamentus!A:U,16,FALSE)&gt;0.1,"Eficiente","n/a"))</f>
        <v>Eficiente</v>
      </c>
      <c r="EU76" s="41" t="str">
        <f>IF(VLOOKUP(BH76,Fundamentus!A:U,16,FALSE)&lt;0.1,"Oper. Ineficiente",IF(VLOOKUP(BH76,Fundamentus!A:U,16,FALSE)&gt;0.1,"Oper.Eficiente","n/a"))</f>
        <v>Oper.Eficiente</v>
      </c>
      <c r="EV76" s="42">
        <f>VLOOKUP(BH76,Fundamentus!A:U,14,FALSE)</f>
        <v>0.1613</v>
      </c>
      <c r="EW76" s="20" t="str">
        <f>IF(VLOOKUP(BH76,Fundamentus!A:U,21,FALSE)&lt;0,"Negativo",IF(VLOOKUP(BH76,Fundamentus!A:U,21,FALSE)&lt;0.05,"Fraco",IF(VLOOKUP(BH76,Fundamentus!A:U,21,FALSE)&lt;0.1,"Bom",IF(VLOOKUP(BH76,Fundamentus!A:U,21,FALSE)&gt;0.1,"Muito bom","n/a"))))</f>
        <v>Muito bom</v>
      </c>
      <c r="EY76" s="37" t="str">
        <f>IF(VLOOKUP(BH76,Fundamentus!A:U,15,FALSE)&gt;1,"Bom",IF(VLOOKUP(BH76,Fundamentus!A:U,15,FALSE)&lt;1,"Ruim","n/a"))</f>
        <v>Bom</v>
      </c>
      <c r="EZ76" s="20" t="str">
        <f>IF(VLOOKUP(BH76,Fundamentus!A:U,20,FALSE)&lt;0.5,"Baixa",IF(VLOOKUP(BH76,Fundamentus!A:U,20,FALSE)&lt;1,"Moderada",IF(VLOOKUP(BH76,Fundamentus!A:U,20,FALSE)&lt;2,"Alerta",IF(VLOOKUP(BH76,Fundamentus!A:U,20,FALSE)&gt;2,"Alta","n/a"))))</f>
        <v>Baixa</v>
      </c>
      <c r="FA76" s="10"/>
    </row>
    <row r="77" spans="1:157" s="2" customFormat="1" ht="11.25" hidden="1" x14ac:dyDescent="0.2">
      <c r="A77" s="4">
        <v>5.98</v>
      </c>
      <c r="B77" s="4">
        <v>5.93</v>
      </c>
      <c r="C77" s="4">
        <v>6.44</v>
      </c>
      <c r="D77" s="4">
        <v>6.15</v>
      </c>
      <c r="E77" s="4">
        <v>6.18</v>
      </c>
      <c r="F77" s="4">
        <v>6.27</v>
      </c>
      <c r="G77" s="4">
        <v>6.09</v>
      </c>
      <c r="H77" s="4">
        <v>5.92</v>
      </c>
      <c r="I77" s="4">
        <v>5.78</v>
      </c>
      <c r="J77" s="4">
        <v>6</v>
      </c>
      <c r="K77" s="4">
        <v>6.1</v>
      </c>
      <c r="L77" s="4">
        <v>6.04</v>
      </c>
      <c r="M77" s="4">
        <v>5.93</v>
      </c>
      <c r="N77" s="4">
        <v>5.9</v>
      </c>
      <c r="O77" s="4">
        <v>6.17</v>
      </c>
      <c r="P77" s="4">
        <v>6.19</v>
      </c>
      <c r="Q77" s="4">
        <v>6.22</v>
      </c>
      <c r="R77" s="4">
        <v>6</v>
      </c>
      <c r="S77" s="4">
        <v>6.03</v>
      </c>
      <c r="T77" s="4">
        <v>6.18</v>
      </c>
      <c r="U77" s="4">
        <v>5.67</v>
      </c>
      <c r="V77" s="4">
        <v>5.62</v>
      </c>
      <c r="W77" s="4">
        <v>5.66</v>
      </c>
      <c r="X77" s="4">
        <v>5.46</v>
      </c>
      <c r="Y77" s="4">
        <v>5.25</v>
      </c>
      <c r="Z77" s="4">
        <v>5.24</v>
      </c>
      <c r="AA77" s="4">
        <v>5.2</v>
      </c>
      <c r="AB77" s="4">
        <v>5.28</v>
      </c>
      <c r="AC77" s="4">
        <v>5.31</v>
      </c>
      <c r="AD77" s="4">
        <v>5.29</v>
      </c>
      <c r="AE77" s="4">
        <v>5.18</v>
      </c>
      <c r="AF77" s="4">
        <v>5.28</v>
      </c>
      <c r="AG77" s="4">
        <v>5.28</v>
      </c>
      <c r="AH77" s="4">
        <v>5.01</v>
      </c>
      <c r="AI77" s="4">
        <v>5.01</v>
      </c>
      <c r="AJ77" s="4">
        <v>5.18</v>
      </c>
      <c r="AK77" s="4">
        <v>5.15</v>
      </c>
      <c r="AL77" s="4">
        <v>5.42</v>
      </c>
      <c r="AM77" s="4">
        <v>5.56</v>
      </c>
      <c r="AN77" s="4">
        <v>5.72</v>
      </c>
      <c r="AO77" s="4">
        <v>5.6</v>
      </c>
      <c r="AP77" s="4">
        <v>5.65</v>
      </c>
      <c r="AQ77" s="4">
        <v>5.46</v>
      </c>
      <c r="AR77" s="4">
        <v>5.59</v>
      </c>
      <c r="AS77" s="4">
        <v>5.86</v>
      </c>
      <c r="AT77" s="4">
        <v>5.82</v>
      </c>
      <c r="AU77" s="4">
        <v>5.6400000000000006</v>
      </c>
      <c r="AV77" s="4">
        <v>5.67</v>
      </c>
      <c r="AW77" s="4">
        <v>5.68</v>
      </c>
      <c r="AX77" s="4">
        <v>5.58</v>
      </c>
      <c r="AY77" s="12">
        <v>5.59</v>
      </c>
      <c r="AZ77" s="12">
        <v>5.36</v>
      </c>
      <c r="BA77" s="12">
        <v>5.56</v>
      </c>
      <c r="BB77" s="18">
        <v>5.64</v>
      </c>
      <c r="BC77" s="63">
        <v>5.39</v>
      </c>
      <c r="BD77" s="63">
        <v>5.28</v>
      </c>
      <c r="BE77" s="63">
        <v>5.39</v>
      </c>
      <c r="BF77" s="63">
        <v>5.32</v>
      </c>
      <c r="BG77" s="91" cm="1">
        <f t="array" aca="1" ref="BG77" ca="1">_FV(EE77,"Preço")</f>
        <v>5.5</v>
      </c>
      <c r="BH77" s="93" t="s">
        <v>75</v>
      </c>
      <c r="BI77" s="32" cm="1">
        <f t="array" aca="1" ref="BI77" ca="1">_FV(EE77,"Beta")</f>
        <v>0.85429999999999995</v>
      </c>
      <c r="BJ77" s="96" cm="1">
        <f t="array" aca="1" ref="BJ77" ca="1">_FV(EE77,"Variação (%)",TRUE)</f>
        <v>9.1739999999999999E-3</v>
      </c>
      <c r="BK77" s="49"/>
      <c r="BL77" s="49"/>
      <c r="BN77" s="32"/>
      <c r="BO77" s="20" cm="1">
        <f t="array" aca="1" ref="BO77" ca="1">_FV(EE77,"Baixo")</f>
        <v>5.32</v>
      </c>
      <c r="BP77" s="20" cm="1">
        <f t="array" aca="1" ref="BP77" ca="1">_FV(EE77,"Alto")</f>
        <v>5.5</v>
      </c>
      <c r="BQ77" s="32"/>
      <c r="BR77" s="74">
        <f ca="1">SQRT(22.5*(BG77/VLOOKUP(BH77,Fundamentus!A:U,3,FALSE))*(BG77/VLOOKUP(BH77,Fundamentus!A:U,4,FALSE)))</f>
        <v>8.9190492200784686</v>
      </c>
      <c r="BT77" s="73">
        <f t="shared" ca="1" si="99"/>
        <v>3.3834586466165356E-2</v>
      </c>
      <c r="BU77" s="36">
        <f t="shared" si="100"/>
        <v>-9.8662207357859646E-2</v>
      </c>
      <c r="BV77" s="8"/>
      <c r="BW77" s="72">
        <f t="shared" si="101"/>
        <v>5.01</v>
      </c>
      <c r="BX77" s="72">
        <f t="shared" si="102"/>
        <v>5.6612068965517226</v>
      </c>
      <c r="BY77" s="72">
        <f t="shared" si="103"/>
        <v>6.44</v>
      </c>
      <c r="BZ77" s="17"/>
      <c r="CA77" s="17"/>
      <c r="CB77" s="43">
        <f t="shared" si="104"/>
        <v>5.2243762149212367</v>
      </c>
      <c r="CC77" s="18">
        <f t="shared" si="105"/>
        <v>5.3187160262418018</v>
      </c>
      <c r="CD77" s="43">
        <f t="shared" si="106"/>
        <v>5.413055837562367</v>
      </c>
      <c r="CE77" s="98">
        <f t="shared" ca="1" si="107"/>
        <v>1.9216062786282051</v>
      </c>
      <c r="CF77" s="17"/>
      <c r="CG77" s="20">
        <f t="shared" si="108"/>
        <v>3.3099999999999987</v>
      </c>
      <c r="CH77" s="20">
        <f t="shared" si="109"/>
        <v>4.1599999999999993</v>
      </c>
      <c r="CI77" s="20">
        <f t="shared" si="110"/>
        <v>4.7399999999999993</v>
      </c>
      <c r="CJ77" s="49">
        <f t="shared" si="111"/>
        <v>5.59</v>
      </c>
      <c r="CK77" s="20">
        <f t="shared" si="112"/>
        <v>6.17</v>
      </c>
      <c r="CL77" s="20">
        <f t="shared" si="113"/>
        <v>7.0200000000000005</v>
      </c>
      <c r="CM77" s="20">
        <f t="shared" si="114"/>
        <v>7.6000000000000005</v>
      </c>
      <c r="CN77" s="2" cm="1">
        <f t="array" aca="1" ref="CN77" ca="1">MAX(_xlfn._xlws.FILTER(CG77:CM77,CG77:CM77&lt;BG77))</f>
        <v>4.7399999999999993</v>
      </c>
      <c r="CO77" s="2" cm="1">
        <f t="array" aca="1" ref="CO77" ca="1">MIN(_xlfn._xlws.FILTER($CG77:$CM77,$CG77:$CM77&gt;BG77))</f>
        <v>5.59</v>
      </c>
      <c r="CP77" s="19">
        <f t="shared" ca="1" si="82"/>
        <v>0.17932489451476807</v>
      </c>
      <c r="CQ77" s="23">
        <f t="shared" ca="1" si="83"/>
        <v>-8.9662447257384037E-2</v>
      </c>
      <c r="CR77" s="23">
        <f t="shared" ca="1" si="84"/>
        <v>-5.9774964838256027E-2</v>
      </c>
      <c r="CS77" s="23">
        <f t="shared" ca="1" si="85"/>
        <v>-3.5864978902953613E-2</v>
      </c>
      <c r="CT77" s="23">
        <f t="shared" ca="1" si="86"/>
        <v>-1.9924988279418673E-2</v>
      </c>
      <c r="CU77" s="23">
        <f t="shared" ca="1" si="87"/>
        <v>-1.0548523206751063E-2</v>
      </c>
      <c r="CV77" s="23">
        <f t="shared" ca="1" si="88"/>
        <v>-5.4340877125687295E-3</v>
      </c>
      <c r="CW77" s="23">
        <f t="shared" ca="1" si="89"/>
        <v>-2.758844530996432E-3</v>
      </c>
      <c r="CX77" s="24">
        <f t="shared" ca="1" si="90"/>
        <v>2.758844530996432E-3</v>
      </c>
      <c r="CY77" s="24">
        <f t="shared" ca="1" si="91"/>
        <v>5.4340877125687295E-3</v>
      </c>
      <c r="CZ77" s="24">
        <f t="shared" ca="1" si="92"/>
        <v>1.0548523206751063E-2</v>
      </c>
      <c r="DA77" s="24">
        <f t="shared" ca="1" si="93"/>
        <v>1.9924988279418673E-2</v>
      </c>
      <c r="DB77" s="24">
        <f t="shared" ca="1" si="94"/>
        <v>3.5864978902953613E-2</v>
      </c>
      <c r="DC77" s="24">
        <f t="shared" ca="1" si="95"/>
        <v>5.9774964838256027E-2</v>
      </c>
      <c r="DD77" s="24">
        <f t="shared" ca="1" si="96"/>
        <v>8.9662447257384037E-2</v>
      </c>
      <c r="DF77" s="19" cm="1">
        <f t="array" aca="1" ref="DF77" ca="1">MAX(_xlfn._xlws.FILTER(CQ77:DD77,CQ77:DD77&lt;BJ77))</f>
        <v>5.4340877125687295E-3</v>
      </c>
      <c r="DG77" s="19" cm="1">
        <f t="array" aca="1" ref="DG77" ca="1">MIN(_xlfn._xlws.FILTER(CQ77:DD77,CQ77:DD77&gt;BJ77))</f>
        <v>1.0548523206751063E-2</v>
      </c>
      <c r="DH77" s="2" cm="1">
        <f t="array" aca="1" ref="DH77" ca="1">_FV(EE77,"Fechamento anterior",TRUE)</f>
        <v>5.45</v>
      </c>
      <c r="DI77" s="36">
        <f t="shared" ca="1" si="115"/>
        <v>0.73130733944953641</v>
      </c>
      <c r="DJ77" s="18">
        <f t="shared" ca="1" si="97"/>
        <v>5.4796157780334998</v>
      </c>
      <c r="DK77" s="18">
        <f t="shared" ca="1" si="98"/>
        <v>5.5074894514767934</v>
      </c>
      <c r="DL77" s="9"/>
      <c r="DM77" s="9"/>
      <c r="DN77" s="9"/>
      <c r="DO77" s="9"/>
      <c r="DP77" s="79">
        <v>1.6216216216216228E-2</v>
      </c>
      <c r="DQ77" s="79">
        <v>3.4687093510622951E-3</v>
      </c>
      <c r="DR77" s="79">
        <v>1.081081081081082E-2</v>
      </c>
      <c r="DS77" s="79">
        <f t="shared" ca="1" si="116"/>
        <v>5.1144354941823336E-3</v>
      </c>
      <c r="DT77" s="47"/>
      <c r="DU77" s="43">
        <f t="shared" si="117"/>
        <v>4.7169905660282743E-2</v>
      </c>
      <c r="DV77" s="83">
        <f t="shared" ca="1" si="118"/>
        <v>1.2804</v>
      </c>
      <c r="DW77" s="83">
        <f t="shared" ca="1" si="119"/>
        <v>-6.3100000000000045E-2</v>
      </c>
      <c r="DX77" s="83">
        <f t="shared" ca="1" si="120"/>
        <v>1.3435000000000001</v>
      </c>
      <c r="DY77" s="67"/>
      <c r="DZ77" s="67"/>
      <c r="EA77" s="85"/>
      <c r="EB77" s="44">
        <v>1673800</v>
      </c>
      <c r="EC77" s="44" cm="1">
        <f t="array" aca="1" ref="EC77" ca="1">_FV(EE77,"Volume")</f>
        <v>1443900</v>
      </c>
      <c r="EE77" s="2" t="e" vm="77">
        <v>#VALUE!</v>
      </c>
      <c r="EG77" s="10" cm="1">
        <f t="array" aca="1" ref="EG77" ca="1">_FV(EE77,"Ações em circulação",TRUE)</f>
        <v>902160000</v>
      </c>
      <c r="EH77" s="21">
        <f>VLOOKUP(BH77,Fundamentus!A:U,5,FALSE)</f>
        <v>1.843</v>
      </c>
      <c r="EI77" s="2">
        <f t="shared" ca="1" si="121"/>
        <v>2692284319.0450354</v>
      </c>
      <c r="EJ77" s="20">
        <v>695835077.93814433</v>
      </c>
      <c r="EK77" s="20">
        <f t="shared" ca="1" si="122"/>
        <v>719378370.04883349</v>
      </c>
      <c r="EM77" s="40" t="str">
        <f>IF(VLOOKUP(BH77,Fundamentus!A:U,3,FALSE)&lt;15,"Bom",IF(VLOOKUP(BH77,Fundamentus!A:U,3,FALSE)&gt;15,"Ruim","n/a"))</f>
        <v>Bom</v>
      </c>
      <c r="EN77" s="36" t="str">
        <f>IF(VLOOKUP(BH77,Fundamentus!A:U,4,FALSE)&lt;1,"Baixo",IF(VLOOKUP(BH77,Fundamentus!A:U,4,FALSE)&lt;1.5,"Moderado",IF(VLOOKUP(BH77,Fundamentus!A:U,4,FALSE)&gt;1.5,"Alto","n/a")))</f>
        <v>Moderado</v>
      </c>
      <c r="EO77" s="20" t="str">
        <f>IF(VLOOKUP(BH77,Fundamentus!A:U,8,FALSE)&lt;0,"Risco elevado",IF(VLOOKUP(BH77,Fundamentus!A:U,8,FALSE)&lt;1,"Saudável",IF(VLOOKUP(BH77,Fundamentus!A:U,8,FALSE)&lt;3,"Estável",IF(VLOOKUP(BH77,Fundamentus!A:U,8,FALSE)&gt;3,"Alerta","n/a"))))</f>
        <v>Estável</v>
      </c>
      <c r="EP77" s="36" t="str">
        <f t="shared" si="123"/>
        <v>Bom</v>
      </c>
      <c r="EQ77" s="20" t="str">
        <f>IF(VLOOKUP(BH77,Fundamentus!A:U,12,FALSE)&lt;2,"Subvalorizada",IF(VLOOKUP(BH77,Fundamentus!A:U,12,FALSE)&lt;6,"Muita barata",IF(VLOOKUP(BH77,Fundamentus!A:U,12,FALSE)&lt;6,"Barata",IF(VLOOKUP(BH77,Fundamentus!A:U,12,FALSE)&lt;8,"Atrativa",IF(VLOOKUP(BH77,Fundamentus!A:U,12,FALSE)&gt;8,"Supervalorizada","n/a")))))</f>
        <v>Atrativa</v>
      </c>
      <c r="ES77" s="20" t="str">
        <f>IF(VLOOKUP(BH77,Fundamentus!A:U,17,FALSE)&lt;0.1,"Fraco retorno",IF(VLOOKUP(BH77,Fundamentus!A:U,17,FALSE)&gt;0.1,"Bom retorno","n/a"))</f>
        <v>Bom retorno</v>
      </c>
      <c r="ET77" s="20" t="str">
        <f>IF(VLOOKUP(BH77,Fundamentus!A:U,16,FALSE)&lt;0.1,"Ineficiente",IF(VLOOKUP(BH77,Fundamentus!A:U,16,FALSE)&gt;0.1,"Eficiente","n/a"))</f>
        <v>Eficiente</v>
      </c>
      <c r="EU77" s="41" t="str">
        <f>IF(VLOOKUP(BH77,Fundamentus!A:U,16,FALSE)&lt;0.1,"Oper. Ineficiente",IF(VLOOKUP(BH77,Fundamentus!A:U,16,FALSE)&gt;0.1,"Oper.Eficiente","n/a"))</f>
        <v>Oper.Eficiente</v>
      </c>
      <c r="EV77" s="42">
        <f>VLOOKUP(BH77,Fundamentus!A:U,14,FALSE)</f>
        <v>0.26719999999999999</v>
      </c>
      <c r="EW77" s="20" t="str">
        <f>IF(VLOOKUP(BH77,Fundamentus!A:U,21,FALSE)&lt;0,"Negativo",IF(VLOOKUP(BH77,Fundamentus!A:U,21,FALSE)&lt;0.05,"Fraco",IF(VLOOKUP(BH77,Fundamentus!A:U,21,FALSE)&lt;0.1,"Bom",IF(VLOOKUP(BH77,Fundamentus!A:U,21,FALSE)&gt;0.1,"Muito bom","n/a"))))</f>
        <v>Bom</v>
      </c>
      <c r="EY77" s="37" t="str">
        <f>IF(VLOOKUP(BH77,Fundamentus!A:U,15,FALSE)&gt;1,"Bom",IF(VLOOKUP(BH77,Fundamentus!A:U,15,FALSE)&lt;1,"Ruim","n/a"))</f>
        <v>Bom</v>
      </c>
      <c r="EZ77" s="20" t="str">
        <f>IF(VLOOKUP(BH77,Fundamentus!A:U,20,FALSE)&lt;0.5,"Baixa",IF(VLOOKUP(BH77,Fundamentus!A:U,20,FALSE)&lt;1,"Moderada",IF(VLOOKUP(BH77,Fundamentus!A:U,20,FALSE)&lt;2,"Alerta",IF(VLOOKUP(BH77,Fundamentus!A:U,20,FALSE)&gt;2,"Alta","n/a"))))</f>
        <v>Baixa</v>
      </c>
      <c r="FA77" s="10"/>
    </row>
    <row r="78" spans="1:157" s="2" customFormat="1" ht="11.25" hidden="1" x14ac:dyDescent="0.2">
      <c r="A78" s="4">
        <v>9.4</v>
      </c>
      <c r="B78" s="4">
        <v>9.44</v>
      </c>
      <c r="C78" s="4">
        <v>9.99</v>
      </c>
      <c r="D78" s="4">
        <v>9.25</v>
      </c>
      <c r="E78" s="4">
        <v>9.14</v>
      </c>
      <c r="F78" s="4">
        <v>9.01</v>
      </c>
      <c r="G78" s="4">
        <v>8.57</v>
      </c>
      <c r="H78" s="4">
        <v>8.18</v>
      </c>
      <c r="I78" s="4">
        <v>8.1</v>
      </c>
      <c r="J78" s="4">
        <v>8.31</v>
      </c>
      <c r="K78" s="4">
        <v>8.5500000000000007</v>
      </c>
      <c r="L78" s="4">
        <v>8.6999999999999993</v>
      </c>
      <c r="M78" s="4">
        <v>8.5399999999999991</v>
      </c>
      <c r="N78" s="4">
        <v>8.75</v>
      </c>
      <c r="O78" s="4">
        <v>9.17</v>
      </c>
      <c r="P78" s="4">
        <v>10.37</v>
      </c>
      <c r="Q78" s="4">
        <v>10.45</v>
      </c>
      <c r="R78" s="4">
        <v>9.9</v>
      </c>
      <c r="S78" s="4">
        <v>10.72</v>
      </c>
      <c r="T78" s="4">
        <v>10.61</v>
      </c>
      <c r="U78" s="4">
        <v>10.19</v>
      </c>
      <c r="V78" s="4">
        <v>10.15</v>
      </c>
      <c r="W78" s="4">
        <v>9.76</v>
      </c>
      <c r="X78" s="4">
        <v>9.41</v>
      </c>
      <c r="Y78" s="4">
        <v>8.98</v>
      </c>
      <c r="Z78" s="4">
        <v>9</v>
      </c>
      <c r="AA78" s="4">
        <v>8.01</v>
      </c>
      <c r="AB78" s="4">
        <v>8.02</v>
      </c>
      <c r="AC78" s="4">
        <v>7.64</v>
      </c>
      <c r="AD78" s="4">
        <v>7.49</v>
      </c>
      <c r="AE78" s="4">
        <v>7.15</v>
      </c>
      <c r="AF78" s="4">
        <v>7.01</v>
      </c>
      <c r="AG78" s="4">
        <v>6.75</v>
      </c>
      <c r="AH78" s="4">
        <v>6.79</v>
      </c>
      <c r="AI78" s="4">
        <v>6.39</v>
      </c>
      <c r="AJ78" s="4">
        <v>6.18</v>
      </c>
      <c r="AK78" s="4">
        <v>6.34</v>
      </c>
      <c r="AL78" s="4">
        <v>6.64</v>
      </c>
      <c r="AM78" s="4">
        <v>6.78</v>
      </c>
      <c r="AN78" s="4">
        <v>6.9</v>
      </c>
      <c r="AO78" s="4">
        <v>6.65</v>
      </c>
      <c r="AP78" s="4">
        <v>7.43</v>
      </c>
      <c r="AQ78" s="4">
        <v>7.17</v>
      </c>
      <c r="AR78" s="4">
        <v>7.08</v>
      </c>
      <c r="AS78" s="4">
        <v>7.09</v>
      </c>
      <c r="AT78" s="4">
        <v>7.21</v>
      </c>
      <c r="AU78" s="4">
        <v>7.4499999999999993</v>
      </c>
      <c r="AV78" s="4">
        <v>7.41</v>
      </c>
      <c r="AW78" s="4">
        <v>7</v>
      </c>
      <c r="AX78" s="4">
        <v>7.25</v>
      </c>
      <c r="AY78" s="12">
        <v>7.28</v>
      </c>
      <c r="AZ78" s="12">
        <v>7.54</v>
      </c>
      <c r="BA78" s="12">
        <v>7.61</v>
      </c>
      <c r="BB78" s="18">
        <v>7.89</v>
      </c>
      <c r="BC78" s="63">
        <v>7.74</v>
      </c>
      <c r="BD78" s="63">
        <v>8.57</v>
      </c>
      <c r="BE78" s="63">
        <v>9.1</v>
      </c>
      <c r="BF78" s="63">
        <v>8.19</v>
      </c>
      <c r="BG78" s="91" cm="1">
        <f t="array" aca="1" ref="BG78" ca="1">_FV(EE78,"Preço")</f>
        <v>8.15</v>
      </c>
      <c r="BH78" s="93" t="s">
        <v>76</v>
      </c>
      <c r="BI78" s="32" cm="1">
        <f t="array" aca="1" ref="BI78" ca="1">_FV(EE78,"Beta")</f>
        <v>1.5348999999999999</v>
      </c>
      <c r="BJ78" s="96" cm="1">
        <f t="array" aca="1" ref="BJ78" ca="1">_FV(EE78,"Variação (%)",TRUE)</f>
        <v>-2.7446000000000002E-2</v>
      </c>
      <c r="BK78" s="49"/>
      <c r="BL78" s="49"/>
      <c r="BN78" s="32"/>
      <c r="BO78" s="20" cm="1">
        <f t="array" aca="1" ref="BO78" ca="1">_FV(EE78,"Baixo")</f>
        <v>8.14</v>
      </c>
      <c r="BP78" s="20" cm="1">
        <f t="array" aca="1" ref="BP78" ca="1">_FV(EE78,"Alto")</f>
        <v>8.3800000000000008</v>
      </c>
      <c r="BQ78" s="32"/>
      <c r="BR78" s="74">
        <f ca="1">SQRT(22.5*(BG78/VLOOKUP(BH78,Fundamentus!A:U,3,FALSE))*(BG78/VLOOKUP(BH78,Fundamentus!A:U,4,FALSE)))</f>
        <v>8.8055209398736256</v>
      </c>
      <c r="BT78" s="73">
        <f t="shared" ca="1" si="99"/>
        <v>-4.8840048840047799E-3</v>
      </c>
      <c r="BU78" s="36">
        <f t="shared" si="100"/>
        <v>-3.191489361702135E-2</v>
      </c>
      <c r="BV78" s="8"/>
      <c r="BW78" s="72">
        <f t="shared" si="101"/>
        <v>6.18</v>
      </c>
      <c r="BX78" s="72">
        <f t="shared" si="102"/>
        <v>8.2136206896551691</v>
      </c>
      <c r="BY78" s="72">
        <f t="shared" si="103"/>
        <v>10.72</v>
      </c>
      <c r="BZ78" s="17"/>
      <c r="CA78" s="17"/>
      <c r="CB78" s="43">
        <f t="shared" si="104"/>
        <v>7.8824621945625708</v>
      </c>
      <c r="CC78" s="18">
        <f t="shared" si="105"/>
        <v>8.8817619493909206</v>
      </c>
      <c r="CD78" s="43">
        <f t="shared" si="106"/>
        <v>9.8810617042192703</v>
      </c>
      <c r="CE78" s="98">
        <f t="shared" ca="1" si="107"/>
        <v>-0.73227472122878223</v>
      </c>
      <c r="CF78" s="17"/>
      <c r="CG78" s="20">
        <f t="shared" si="108"/>
        <v>1.4666666666666615</v>
      </c>
      <c r="CH78" s="20">
        <f t="shared" si="109"/>
        <v>3.8233333333333306</v>
      </c>
      <c r="CI78" s="20">
        <f t="shared" si="110"/>
        <v>6.0066666666666624</v>
      </c>
      <c r="CJ78" s="49">
        <f t="shared" si="111"/>
        <v>8.3633333333333315</v>
      </c>
      <c r="CK78" s="20">
        <f t="shared" si="112"/>
        <v>10.546666666666663</v>
      </c>
      <c r="CL78" s="20">
        <f t="shared" si="113"/>
        <v>12.903333333333332</v>
      </c>
      <c r="CM78" s="20">
        <f t="shared" si="114"/>
        <v>15.086666666666664</v>
      </c>
      <c r="CN78" s="2" cm="1">
        <f t="array" aca="1" ref="CN78" ca="1">MAX(_xlfn._xlws.FILTER(CG78:CM78,CG78:CM78&lt;BG78))</f>
        <v>6.0066666666666624</v>
      </c>
      <c r="CO78" s="2" cm="1">
        <f t="array" aca="1" ref="CO78" ca="1">MIN(_xlfn._xlws.FILTER($CG78:$CM78,$CG78:$CM78&gt;BG78))</f>
        <v>8.3633333333333315</v>
      </c>
      <c r="CP78" s="19">
        <f t="shared" ca="1" si="82"/>
        <v>0.39234184239733705</v>
      </c>
      <c r="CQ78" s="23">
        <f t="shared" ca="1" si="83"/>
        <v>-0.19617092119866852</v>
      </c>
      <c r="CR78" s="23">
        <f t="shared" ca="1" si="84"/>
        <v>-0.13078061413244568</v>
      </c>
      <c r="CS78" s="23">
        <f t="shared" ca="1" si="85"/>
        <v>-7.8468368479467407E-2</v>
      </c>
      <c r="CT78" s="23">
        <f t="shared" ca="1" si="86"/>
        <v>-4.3593538044148561E-2</v>
      </c>
      <c r="CU78" s="23">
        <f t="shared" ca="1" si="87"/>
        <v>-2.307893190572571E-2</v>
      </c>
      <c r="CV78" s="23">
        <f t="shared" ca="1" si="88"/>
        <v>-1.1889146739313244E-2</v>
      </c>
      <c r="CW78" s="23">
        <f t="shared" ca="1" si="89"/>
        <v>-6.0360283445744164E-3</v>
      </c>
      <c r="CX78" s="24">
        <f t="shared" ca="1" si="90"/>
        <v>6.0360283445744164E-3</v>
      </c>
      <c r="CY78" s="24">
        <f t="shared" ca="1" si="91"/>
        <v>1.1889146739313244E-2</v>
      </c>
      <c r="CZ78" s="24">
        <f t="shared" ca="1" si="92"/>
        <v>2.307893190572571E-2</v>
      </c>
      <c r="DA78" s="24">
        <f t="shared" ca="1" si="93"/>
        <v>4.3593538044148561E-2</v>
      </c>
      <c r="DB78" s="24">
        <f t="shared" ca="1" si="94"/>
        <v>7.8468368479467407E-2</v>
      </c>
      <c r="DC78" s="24">
        <f t="shared" ca="1" si="95"/>
        <v>0.13078061413244568</v>
      </c>
      <c r="DD78" s="24">
        <f t="shared" ca="1" si="96"/>
        <v>0.19617092119866852</v>
      </c>
      <c r="DF78" s="19" cm="1">
        <f t="array" aca="1" ref="DF78" ca="1">MAX(_xlfn._xlws.FILTER(CQ78:DD78,CQ78:DD78&lt;BJ78))</f>
        <v>-4.3593538044148561E-2</v>
      </c>
      <c r="DG78" s="19" cm="1">
        <f t="array" aca="1" ref="DG78" ca="1">MIN(_xlfn._xlws.FILTER(CQ78:DD78,CQ78:DD78&gt;BJ78))</f>
        <v>-2.307893190572571E-2</v>
      </c>
      <c r="DH78" s="2" cm="1">
        <f t="array" aca="1" ref="DH78" ca="1">_FV(EE78,"Fechamento anterior",TRUE)</f>
        <v>8.3800000000000008</v>
      </c>
      <c r="DI78" s="36">
        <f t="shared" ca="1" si="115"/>
        <v>0.78710930247473898</v>
      </c>
      <c r="DJ78" s="18">
        <f t="shared" ca="1" si="97"/>
        <v>8.0146861511900358</v>
      </c>
      <c r="DK78" s="18">
        <f t="shared" ca="1" si="98"/>
        <v>8.1865985506300198</v>
      </c>
      <c r="DL78" s="9"/>
      <c r="DM78" s="9"/>
      <c r="DN78" s="9"/>
      <c r="DO78" s="9"/>
      <c r="DP78" s="79">
        <v>8.8213156706307486E-3</v>
      </c>
      <c r="DQ78" s="79">
        <v>9.0786779760163791E-3</v>
      </c>
      <c r="DR78" s="79">
        <v>1.4990471074274474E-2</v>
      </c>
      <c r="DS78" s="79">
        <f t="shared" ca="1" si="116"/>
        <v>2.0514606138422851E-2</v>
      </c>
      <c r="DT78" s="47"/>
      <c r="DU78" s="43">
        <f t="shared" si="117"/>
        <v>0.49964987741417477</v>
      </c>
      <c r="DV78" s="83">
        <f t="shared" ca="1" si="118"/>
        <v>1.9609999999999999</v>
      </c>
      <c r="DW78" s="83">
        <f t="shared" ca="1" si="119"/>
        <v>4.2795000000000005</v>
      </c>
      <c r="DX78" s="83">
        <f t="shared" ca="1" si="120"/>
        <v>-2.3185000000000007</v>
      </c>
      <c r="DY78" s="67"/>
      <c r="DZ78" s="67"/>
      <c r="EA78" s="85"/>
      <c r="EB78" s="44">
        <v>2001200</v>
      </c>
      <c r="EC78" s="44" cm="1">
        <f t="array" aca="1" ref="EC78" ca="1">_FV(EE78,"Volume")</f>
        <v>1046100</v>
      </c>
      <c r="EE78" s="2" t="e" vm="78">
        <v>#VALUE!</v>
      </c>
      <c r="EG78" s="10" cm="1">
        <f t="array" aca="1" ref="EG78" ca="1">_FV(EE78,"Ações em circulação",TRUE)</f>
        <v>611509500</v>
      </c>
      <c r="EH78" s="21">
        <f>VLOOKUP(BH78,Fundamentus!A:U,5,FALSE)</f>
        <v>0</v>
      </c>
      <c r="EI78" s="2" t="e">
        <f t="shared" ca="1" si="121"/>
        <v>#DIV/0!</v>
      </c>
      <c r="EJ78" s="20" t="e">
        <v>#DIV/0!</v>
      </c>
      <c r="EK78" s="20" t="e">
        <f t="shared" ca="1" si="122"/>
        <v>#DIV/0!</v>
      </c>
      <c r="EM78" s="40" t="str">
        <f>IF(VLOOKUP(BH78,Fundamentus!A:U,3,FALSE)&lt;15,"Bom",IF(VLOOKUP(BH78,Fundamentus!A:U,3,FALSE)&gt;15,"Ruim","n/a"))</f>
        <v>Bom</v>
      </c>
      <c r="EN78" s="36" t="str">
        <f>IF(VLOOKUP(BH78,Fundamentus!A:U,4,FALSE)&lt;1,"Baixo",IF(VLOOKUP(BH78,Fundamentus!A:U,4,FALSE)&lt;1.5,"Moderado",IF(VLOOKUP(BH78,Fundamentus!A:U,4,FALSE)&gt;1.5,"Alto","n/a")))</f>
        <v>Moderado</v>
      </c>
      <c r="EO78" s="20" t="str">
        <f>IF(VLOOKUP(BH78,Fundamentus!A:U,8,FALSE)&lt;0,"Risco elevado",IF(VLOOKUP(BH78,Fundamentus!A:U,8,FALSE)&lt;1,"Saudável",IF(VLOOKUP(BH78,Fundamentus!A:U,8,FALSE)&lt;3,"Estável",IF(VLOOKUP(BH78,Fundamentus!A:U,8,FALSE)&gt;3,"Alerta","n/a"))))</f>
        <v>Saudável</v>
      </c>
      <c r="EP78" s="36" t="str">
        <f t="shared" si="123"/>
        <v>Ruim</v>
      </c>
      <c r="EQ78" s="20" t="str">
        <f>IF(VLOOKUP(BH78,Fundamentus!A:U,12,FALSE)&lt;2,"Subvalorizada",IF(VLOOKUP(BH78,Fundamentus!A:U,12,FALSE)&lt;6,"Muita barata",IF(VLOOKUP(BH78,Fundamentus!A:U,12,FALSE)&lt;6,"Barata",IF(VLOOKUP(BH78,Fundamentus!A:U,12,FALSE)&lt;8,"Atrativa",IF(VLOOKUP(BH78,Fundamentus!A:U,12,FALSE)&gt;8,"Supervalorizada","n/a")))))</f>
        <v>Subvalorizada</v>
      </c>
      <c r="ES78" s="20" t="str">
        <f>IF(VLOOKUP(BH78,Fundamentus!A:U,17,FALSE)&lt;0.1,"Fraco retorno",IF(VLOOKUP(BH78,Fundamentus!A:U,17,FALSE)&gt;0.1,"Bom retorno","n/a"))</f>
        <v>Bom retorno</v>
      </c>
      <c r="ET78" s="20" t="str">
        <f>IF(VLOOKUP(BH78,Fundamentus!A:U,16,FALSE)&lt;0.1,"Ineficiente",IF(VLOOKUP(BH78,Fundamentus!A:U,16,FALSE)&gt;0.1,"Eficiente","n/a"))</f>
        <v>Ineficiente</v>
      </c>
      <c r="EU78" s="41" t="str">
        <f>IF(VLOOKUP(BH78,Fundamentus!A:U,16,FALSE)&lt;0.1,"Oper. Ineficiente",IF(VLOOKUP(BH78,Fundamentus!A:U,16,FALSE)&gt;0.1,"Oper.Eficiente","n/a"))</f>
        <v>Oper. Ineficiente</v>
      </c>
      <c r="EV78" s="42">
        <f>VLOOKUP(BH78,Fundamentus!A:U,14,FALSE)</f>
        <v>0</v>
      </c>
      <c r="EW78" s="20" t="str">
        <f>IF(VLOOKUP(BH78,Fundamentus!A:U,21,FALSE)&lt;0,"Negativo",IF(VLOOKUP(BH78,Fundamentus!A:U,21,FALSE)&lt;0.05,"Fraco",IF(VLOOKUP(BH78,Fundamentus!A:U,21,FALSE)&lt;0.1,"Bom",IF(VLOOKUP(BH78,Fundamentus!A:U,21,FALSE)&gt;0.1,"Muito bom","n/a"))))</f>
        <v>Fraco</v>
      </c>
      <c r="EY78" s="37" t="str">
        <f>IF(VLOOKUP(BH78,Fundamentus!A:U,15,FALSE)&gt;1,"Bom",IF(VLOOKUP(BH78,Fundamentus!A:U,15,FALSE)&lt;1,"Ruim","n/a"))</f>
        <v>Ruim</v>
      </c>
      <c r="EZ78" s="20" t="str">
        <f>IF(VLOOKUP(BH78,Fundamentus!A:U,20,FALSE)&lt;0.5,"Baixa",IF(VLOOKUP(BH78,Fundamentus!A:U,20,FALSE)&lt;1,"Moderada",IF(VLOOKUP(BH78,Fundamentus!A:U,20,FALSE)&lt;2,"Alerta",IF(VLOOKUP(BH78,Fundamentus!A:U,20,FALSE)&gt;2,"Alta","n/a"))))</f>
        <v>Baixa</v>
      </c>
      <c r="FA78" s="10"/>
    </row>
    <row r="79" spans="1:157" s="2" customFormat="1" ht="11.25" hidden="1" x14ac:dyDescent="0.2">
      <c r="A79" s="4">
        <v>38.770000000000003</v>
      </c>
      <c r="B79" s="4">
        <v>38.9</v>
      </c>
      <c r="C79" s="4">
        <v>39.64</v>
      </c>
      <c r="D79" s="4">
        <v>38.340000000000003</v>
      </c>
      <c r="E79" s="4">
        <v>37.75</v>
      </c>
      <c r="F79" s="4">
        <v>37.85</v>
      </c>
      <c r="G79" s="4">
        <v>38.770000000000003</v>
      </c>
      <c r="H79" s="4">
        <v>41.08</v>
      </c>
      <c r="I79" s="4">
        <v>42</v>
      </c>
      <c r="J79" s="4">
        <v>42.19</v>
      </c>
      <c r="K79" s="4">
        <v>45.88</v>
      </c>
      <c r="L79" s="4">
        <v>47.29</v>
      </c>
      <c r="M79" s="4">
        <v>46.92</v>
      </c>
      <c r="N79" s="4">
        <v>49.82</v>
      </c>
      <c r="O79" s="4">
        <v>49.7</v>
      </c>
      <c r="P79" s="4">
        <v>53.36</v>
      </c>
      <c r="Q79" s="4">
        <v>53.81</v>
      </c>
      <c r="R79" s="4">
        <v>54.15</v>
      </c>
      <c r="S79" s="4">
        <v>52.88</v>
      </c>
      <c r="T79" s="4">
        <v>53.62</v>
      </c>
      <c r="U79" s="4">
        <v>52.52</v>
      </c>
      <c r="V79" s="4">
        <v>56.03</v>
      </c>
      <c r="W79" s="4">
        <v>54.5</v>
      </c>
      <c r="X79" s="4">
        <v>54.17</v>
      </c>
      <c r="Y79" s="4">
        <v>54.87</v>
      </c>
      <c r="Z79" s="4">
        <v>55.47</v>
      </c>
      <c r="AA79" s="4">
        <v>54.7</v>
      </c>
      <c r="AB79" s="4">
        <v>55.09</v>
      </c>
      <c r="AC79" s="4">
        <v>54.35</v>
      </c>
      <c r="AD79" s="4">
        <v>54.01</v>
      </c>
      <c r="AE79" s="4">
        <v>53.94</v>
      </c>
      <c r="AF79" s="4">
        <v>55.6</v>
      </c>
      <c r="AG79" s="4">
        <v>57.66</v>
      </c>
      <c r="AH79" s="4">
        <v>54.24</v>
      </c>
      <c r="AI79" s="4">
        <v>53.68</v>
      </c>
      <c r="AJ79" s="4">
        <v>52.46</v>
      </c>
      <c r="AK79" s="4">
        <v>53.35</v>
      </c>
      <c r="AL79" s="4">
        <v>54.17</v>
      </c>
      <c r="AM79" s="4">
        <v>57.87</v>
      </c>
      <c r="AN79" s="4">
        <v>55.04</v>
      </c>
      <c r="AO79" s="4">
        <v>53.94</v>
      </c>
      <c r="AP79" s="4">
        <v>53.8</v>
      </c>
      <c r="AQ79" s="4">
        <v>52.95</v>
      </c>
      <c r="AR79" s="4">
        <v>48.42</v>
      </c>
      <c r="AS79" s="4">
        <v>47.89</v>
      </c>
      <c r="AT79" s="4">
        <v>46.74</v>
      </c>
      <c r="AU79" s="4">
        <v>47.674999999999997</v>
      </c>
      <c r="AV79" s="4">
        <v>45.85</v>
      </c>
      <c r="AW79" s="4">
        <v>43.72</v>
      </c>
      <c r="AX79" s="4">
        <v>45.12</v>
      </c>
      <c r="AY79" s="12">
        <v>45.95</v>
      </c>
      <c r="AZ79" s="12">
        <v>49.89</v>
      </c>
      <c r="BA79" s="12">
        <v>44.64</v>
      </c>
      <c r="BB79" s="18">
        <v>42.21</v>
      </c>
      <c r="BC79" s="63">
        <v>44.17</v>
      </c>
      <c r="BD79" s="63">
        <v>43.69</v>
      </c>
      <c r="BE79" s="63">
        <v>42.35</v>
      </c>
      <c r="BF79" s="63">
        <v>42.57</v>
      </c>
      <c r="BG79" s="91" cm="1">
        <f t="array" aca="1" ref="BG79" ca="1">_FV(EE79,"Preço")</f>
        <v>42.39</v>
      </c>
      <c r="BH79" s="93" t="s">
        <v>77</v>
      </c>
      <c r="BI79" s="32" cm="1">
        <f t="array" aca="1" ref="BI79" ca="1">_FV(EE79,"Beta")</f>
        <v>0.45440000000000003</v>
      </c>
      <c r="BJ79" s="96" cm="1">
        <f t="array" aca="1" ref="BJ79" ca="1">_FV(EE79,"Variação (%)",TRUE)</f>
        <v>3.0759999999999997E-3</v>
      </c>
      <c r="BK79" s="49"/>
      <c r="BL79" s="49"/>
      <c r="BN79" s="32"/>
      <c r="BO79" s="20" cm="1">
        <f t="array" aca="1" ref="BO79" ca="1">_FV(EE79,"Baixo")</f>
        <v>41.6</v>
      </c>
      <c r="BP79" s="20" cm="1">
        <f t="array" aca="1" ref="BP79" ca="1">_FV(EE79,"Alto")</f>
        <v>42.93</v>
      </c>
      <c r="BQ79" s="32"/>
      <c r="BR79" s="74">
        <f ca="1">SQRT(22.5*(BG79/VLOOKUP(BH79,Fundamentus!A:U,3,FALSE))*(BG79/VLOOKUP(BH79,Fundamentus!A:U,4,FALSE)))</f>
        <v>12.99867048643218</v>
      </c>
      <c r="BT79" s="73">
        <f t="shared" ca="1" si="99"/>
        <v>-4.2283298097251518E-3</v>
      </c>
      <c r="BU79" s="36">
        <f t="shared" si="100"/>
        <v>9.2339437709569205E-2</v>
      </c>
      <c r="BV79" s="8"/>
      <c r="BW79" s="72">
        <f t="shared" si="101"/>
        <v>37.75</v>
      </c>
      <c r="BX79" s="72">
        <f t="shared" si="102"/>
        <v>48.931293103448255</v>
      </c>
      <c r="BY79" s="72">
        <f t="shared" si="103"/>
        <v>57.87</v>
      </c>
      <c r="BZ79" s="17"/>
      <c r="CA79" s="17"/>
      <c r="CB79" s="43">
        <f t="shared" si="104"/>
        <v>40.183466588412507</v>
      </c>
      <c r="CC79" s="18">
        <f t="shared" si="105"/>
        <v>41.700140581068808</v>
      </c>
      <c r="CD79" s="43">
        <f t="shared" si="106"/>
        <v>43.216814573725109</v>
      </c>
      <c r="CE79" s="98">
        <f t="shared" ca="1" si="107"/>
        <v>0.45485016705730752</v>
      </c>
      <c r="CF79" s="17"/>
      <c r="CG79" s="20">
        <f t="shared" si="108"/>
        <v>14.13666666666667</v>
      </c>
      <c r="CH79" s="20">
        <f t="shared" si="109"/>
        <v>25.943333333333335</v>
      </c>
      <c r="CI79" s="20">
        <f t="shared" si="110"/>
        <v>34.256666666666668</v>
      </c>
      <c r="CJ79" s="49">
        <f t="shared" si="111"/>
        <v>46.063333333333333</v>
      </c>
      <c r="CK79" s="20">
        <f t="shared" si="112"/>
        <v>54.376666666666665</v>
      </c>
      <c r="CL79" s="20">
        <f t="shared" si="113"/>
        <v>66.183333333333337</v>
      </c>
      <c r="CM79" s="20">
        <f t="shared" si="114"/>
        <v>74.49666666666667</v>
      </c>
      <c r="CN79" s="2" cm="1">
        <f t="array" aca="1" ref="CN79" ca="1">MAX(_xlfn._xlws.FILTER(CG79:CM79,CG79:CM79&lt;BG79))</f>
        <v>34.256666666666668</v>
      </c>
      <c r="CO79" s="2" cm="1">
        <f t="array" aca="1" ref="CO79" ca="1">MIN(_xlfn._xlws.FILTER($CG79:$CM79,$CG79:$CM79&gt;BG79))</f>
        <v>46.063333333333333</v>
      </c>
      <c r="CP79" s="19">
        <f t="shared" ca="1" si="82"/>
        <v>0.34465310888391554</v>
      </c>
      <c r="CQ79" s="23">
        <f t="shared" ca="1" si="83"/>
        <v>-0.17232655444195777</v>
      </c>
      <c r="CR79" s="23">
        <f t="shared" ca="1" si="84"/>
        <v>-0.11488436962797184</v>
      </c>
      <c r="CS79" s="23">
        <f t="shared" ca="1" si="85"/>
        <v>-6.8930621776783108E-2</v>
      </c>
      <c r="CT79" s="23">
        <f t="shared" ca="1" si="86"/>
        <v>-3.8294789875990616E-2</v>
      </c>
      <c r="CU79" s="23">
        <f t="shared" ca="1" si="87"/>
        <v>-2.027371228728915E-2</v>
      </c>
      <c r="CV79" s="23">
        <f t="shared" ca="1" si="88"/>
        <v>-1.0444033602542896E-2</v>
      </c>
      <c r="CW79" s="23">
        <f t="shared" ca="1" si="89"/>
        <v>-5.3023555212910085E-3</v>
      </c>
      <c r="CX79" s="24">
        <f t="shared" ca="1" si="90"/>
        <v>5.3023555212910085E-3</v>
      </c>
      <c r="CY79" s="24">
        <f t="shared" ca="1" si="91"/>
        <v>1.0444033602542896E-2</v>
      </c>
      <c r="CZ79" s="24">
        <f t="shared" ca="1" si="92"/>
        <v>2.027371228728915E-2</v>
      </c>
      <c r="DA79" s="24">
        <f t="shared" ca="1" si="93"/>
        <v>3.8294789875990616E-2</v>
      </c>
      <c r="DB79" s="24">
        <f t="shared" ca="1" si="94"/>
        <v>6.8930621776783108E-2</v>
      </c>
      <c r="DC79" s="24">
        <f t="shared" ca="1" si="95"/>
        <v>0.11488436962797184</v>
      </c>
      <c r="DD79" s="24">
        <f t="shared" ca="1" si="96"/>
        <v>0.17232655444195777</v>
      </c>
      <c r="DF79" s="19" cm="1">
        <f t="array" aca="1" ref="DF79" ca="1">MAX(_xlfn._xlws.FILTER(CQ79:DD79,CQ79:DD79&lt;BJ79))</f>
        <v>-5.3023555212910085E-3</v>
      </c>
      <c r="DG79" s="19" cm="1">
        <f t="array" aca="1" ref="DG79" ca="1">MIN(_xlfn._xlws.FILTER(CQ79:DD79,CQ79:DD79&gt;BJ79))</f>
        <v>5.3023555212910085E-3</v>
      </c>
      <c r="DH79" s="2" cm="1">
        <f t="array" aca="1" ref="DH79" ca="1">_FV(EE79,"Fechamento anterior",TRUE)</f>
        <v>42.26</v>
      </c>
      <c r="DI79" s="36">
        <f t="shared" ca="1" si="115"/>
        <v>0.79007815216122368</v>
      </c>
      <c r="DJ79" s="18">
        <f t="shared" ca="1" si="97"/>
        <v>42.035922455670239</v>
      </c>
      <c r="DK79" s="18">
        <f t="shared" ca="1" si="98"/>
        <v>42.484077544329757</v>
      </c>
      <c r="DL79" s="9"/>
      <c r="DM79" s="9"/>
      <c r="DN79" s="9"/>
      <c r="DO79" s="9"/>
      <c r="DP79" s="79">
        <v>1.2680143225483128E-2</v>
      </c>
      <c r="DQ79" s="79">
        <v>2.1547955808010544E-2</v>
      </c>
      <c r="DR79" s="79">
        <v>1.2680143225483128E-2</v>
      </c>
      <c r="DS79" s="79">
        <f t="shared" ca="1" si="116"/>
        <v>1.0604711042582017E-2</v>
      </c>
      <c r="DT79" s="47"/>
      <c r="DU79" s="43">
        <f t="shared" si="117"/>
        <v>0.75833699632814933</v>
      </c>
      <c r="DV79" s="83">
        <f t="shared" ca="1" si="118"/>
        <v>0.88050000000000006</v>
      </c>
      <c r="DW79" s="83">
        <f t="shared" ca="1" si="119"/>
        <v>0.14680000000000004</v>
      </c>
      <c r="DX79" s="83">
        <f t="shared" ca="1" si="120"/>
        <v>0.73370000000000002</v>
      </c>
      <c r="DY79" s="67"/>
      <c r="DZ79" s="67"/>
      <c r="EA79" s="85"/>
      <c r="EB79" s="44">
        <v>4538500</v>
      </c>
      <c r="EC79" s="44" cm="1">
        <f t="array" aca="1" ref="EC79" ca="1">_FV(EE79,"Volume")</f>
        <v>4921100</v>
      </c>
      <c r="EE79" s="2" t="e" vm="79">
        <v>#VALUE!</v>
      </c>
      <c r="EG79" s="10" cm="1">
        <f t="array" aca="1" ref="EG79" ca="1">_FV(EE79,"Ações em circulação",TRUE)</f>
        <v>4197318000</v>
      </c>
      <c r="EH79" s="21">
        <f>VLOOKUP(BH79,Fundamentus!A:U,5,FALSE)</f>
        <v>4.46</v>
      </c>
      <c r="EI79" s="2">
        <f t="shared" ca="1" si="121"/>
        <v>39893343053.811661</v>
      </c>
      <c r="EJ79" s="20">
        <v>6582308434.7125559</v>
      </c>
      <c r="EK79" s="20">
        <f t="shared" ca="1" si="122"/>
        <v>6554476263.7412558</v>
      </c>
      <c r="EM79" s="40" t="str">
        <f>IF(VLOOKUP(BH79,Fundamentus!A:U,3,FALSE)&lt;15,"Bom",IF(VLOOKUP(BH79,Fundamentus!A:U,3,FALSE)&gt;15,"Ruim","n/a"))</f>
        <v>Ruim</v>
      </c>
      <c r="EN79" s="36" t="str">
        <f>IF(VLOOKUP(BH79,Fundamentus!A:U,4,FALSE)&lt;1,"Baixo",IF(VLOOKUP(BH79,Fundamentus!A:U,4,FALSE)&lt;1.5,"Moderado",IF(VLOOKUP(BH79,Fundamentus!A:U,4,FALSE)&gt;1.5,"Alto","n/a")))</f>
        <v>Alto</v>
      </c>
      <c r="EO79" s="20" t="str">
        <f>IF(VLOOKUP(BH79,Fundamentus!A:U,8,FALSE)&lt;0,"Risco elevado",IF(VLOOKUP(BH79,Fundamentus!A:U,8,FALSE)&lt;1,"Saudável",IF(VLOOKUP(BH79,Fundamentus!A:U,8,FALSE)&lt;3,"Estável",IF(VLOOKUP(BH79,Fundamentus!A:U,8,FALSE)&gt;3,"Alerta","n/a"))))</f>
        <v>Alerta</v>
      </c>
      <c r="EP79" s="36" t="str">
        <f t="shared" si="123"/>
        <v>Bom</v>
      </c>
      <c r="EQ79" s="20" t="str">
        <f>IF(VLOOKUP(BH79,Fundamentus!A:U,12,FALSE)&lt;2,"Subvalorizada",IF(VLOOKUP(BH79,Fundamentus!A:U,12,FALSE)&lt;6,"Muita barata",IF(VLOOKUP(BH79,Fundamentus!A:U,12,FALSE)&lt;6,"Barata",IF(VLOOKUP(BH79,Fundamentus!A:U,12,FALSE)&lt;8,"Atrativa",IF(VLOOKUP(BH79,Fundamentus!A:U,12,FALSE)&gt;8,"Supervalorizada","n/a")))))</f>
        <v>Supervalorizada</v>
      </c>
      <c r="ES79" s="20" t="str">
        <f>IF(VLOOKUP(BH79,Fundamentus!A:U,17,FALSE)&lt;0.1,"Fraco retorno",IF(VLOOKUP(BH79,Fundamentus!A:U,17,FALSE)&gt;0.1,"Bom retorno","n/a"))</f>
        <v>Bom retorno</v>
      </c>
      <c r="ET79" s="20" t="str">
        <f>IF(VLOOKUP(BH79,Fundamentus!A:U,16,FALSE)&lt;0.1,"Ineficiente",IF(VLOOKUP(BH79,Fundamentus!A:U,16,FALSE)&gt;0.1,"Eficiente","n/a"))</f>
        <v>Eficiente</v>
      </c>
      <c r="EU79" s="41" t="str">
        <f>IF(VLOOKUP(BH79,Fundamentus!A:U,16,FALSE)&lt;0.1,"Oper. Ineficiente",IF(VLOOKUP(BH79,Fundamentus!A:U,16,FALSE)&gt;0.1,"Oper.Eficiente","n/a"))</f>
        <v>Oper.Eficiente</v>
      </c>
      <c r="EV79" s="42">
        <f>VLOOKUP(BH79,Fundamentus!A:U,14,FALSE)</f>
        <v>0.1643</v>
      </c>
      <c r="EW79" s="20" t="str">
        <f>IF(VLOOKUP(BH79,Fundamentus!A:U,21,FALSE)&lt;0,"Negativo",IF(VLOOKUP(BH79,Fundamentus!A:U,21,FALSE)&lt;0.05,"Fraco",IF(VLOOKUP(BH79,Fundamentus!A:U,21,FALSE)&lt;0.1,"Bom",IF(VLOOKUP(BH79,Fundamentus!A:U,21,FALSE)&gt;0.1,"Muito bom","n/a"))))</f>
        <v>Muito bom</v>
      </c>
      <c r="EY79" s="37" t="str">
        <f>IF(VLOOKUP(BH79,Fundamentus!A:U,15,FALSE)&gt;1,"Bom",IF(VLOOKUP(BH79,Fundamentus!A:U,15,FALSE)&lt;1,"Ruim","n/a"))</f>
        <v>Bom</v>
      </c>
      <c r="EZ79" s="20" t="str">
        <f>IF(VLOOKUP(BH79,Fundamentus!A:U,20,FALSE)&lt;0.5,"Baixa",IF(VLOOKUP(BH79,Fundamentus!A:U,20,FALSE)&lt;1,"Moderada",IF(VLOOKUP(BH79,Fundamentus!A:U,20,FALSE)&lt;2,"Alerta",IF(VLOOKUP(BH79,Fundamentus!A:U,20,FALSE)&gt;2,"Alta","n/a"))))</f>
        <v>Baixa</v>
      </c>
      <c r="FA79" s="10"/>
    </row>
    <row r="80" spans="1:157" s="2" customFormat="1" ht="11.25" hidden="1" x14ac:dyDescent="0.2">
      <c r="A80" s="4">
        <v>42.64</v>
      </c>
      <c r="B80" s="4">
        <v>43.77</v>
      </c>
      <c r="C80" s="4">
        <v>43.58</v>
      </c>
      <c r="D80" s="4">
        <v>43.61</v>
      </c>
      <c r="E80" s="4">
        <v>43.37</v>
      </c>
      <c r="F80" s="4">
        <v>43.48</v>
      </c>
      <c r="G80" s="4">
        <v>44.16</v>
      </c>
      <c r="H80" s="4">
        <v>44.12</v>
      </c>
      <c r="I80" s="4">
        <v>44.18</v>
      </c>
      <c r="J80" s="4">
        <v>45.25</v>
      </c>
      <c r="K80" s="4">
        <v>46.61</v>
      </c>
      <c r="L80" s="4">
        <v>45.6</v>
      </c>
      <c r="M80" s="4">
        <v>44.55</v>
      </c>
      <c r="N80" s="4">
        <v>44.11</v>
      </c>
      <c r="O80" s="4">
        <v>45.68</v>
      </c>
      <c r="P80" s="4">
        <v>46.19</v>
      </c>
      <c r="Q80" s="4">
        <v>45.8</v>
      </c>
      <c r="R80" s="4">
        <v>45.16</v>
      </c>
      <c r="S80" s="4">
        <v>44.98</v>
      </c>
      <c r="T80" s="4">
        <v>44.12</v>
      </c>
      <c r="U80" s="4">
        <v>43.71</v>
      </c>
      <c r="V80" s="4">
        <v>42.92</v>
      </c>
      <c r="W80" s="4">
        <v>41.94</v>
      </c>
      <c r="X80" s="4">
        <v>40.590000000000003</v>
      </c>
      <c r="Y80" s="4">
        <v>40.82</v>
      </c>
      <c r="Z80" s="4">
        <v>40.799999999999997</v>
      </c>
      <c r="AA80" s="4">
        <v>41.11</v>
      </c>
      <c r="AB80" s="4">
        <v>40.270000000000003</v>
      </c>
      <c r="AC80" s="4">
        <v>39.42</v>
      </c>
      <c r="AD80" s="4">
        <v>38.590000000000003</v>
      </c>
      <c r="AE80" s="4">
        <v>37.799999999999997</v>
      </c>
      <c r="AF80" s="4">
        <v>38</v>
      </c>
      <c r="AG80" s="4">
        <v>37.07</v>
      </c>
      <c r="AH80" s="4">
        <v>35.619999999999997</v>
      </c>
      <c r="AI80" s="4">
        <v>34.950000000000003</v>
      </c>
      <c r="AJ80" s="4">
        <v>35.31</v>
      </c>
      <c r="AK80" s="4">
        <v>34.96</v>
      </c>
      <c r="AL80" s="4">
        <v>35.200000000000003</v>
      </c>
      <c r="AM80" s="4">
        <v>35.17</v>
      </c>
      <c r="AN80" s="4">
        <v>36.799999999999997</v>
      </c>
      <c r="AO80" s="4">
        <v>35.950000000000003</v>
      </c>
      <c r="AP80" s="4">
        <v>36.58</v>
      </c>
      <c r="AQ80" s="4">
        <v>36.58</v>
      </c>
      <c r="AR80" s="4">
        <v>37.17</v>
      </c>
      <c r="AS80" s="4">
        <v>37.770000000000003</v>
      </c>
      <c r="AT80" s="4">
        <v>37.770000000000003</v>
      </c>
      <c r="AU80" s="4">
        <v>39.305</v>
      </c>
      <c r="AV80" s="4">
        <v>39.07</v>
      </c>
      <c r="AW80" s="4">
        <v>39.64</v>
      </c>
      <c r="AX80" s="4">
        <v>39.65</v>
      </c>
      <c r="AY80" s="12">
        <v>39.29</v>
      </c>
      <c r="AZ80" s="12">
        <v>40.26</v>
      </c>
      <c r="BA80" s="12">
        <v>41.57</v>
      </c>
      <c r="BB80" s="18">
        <v>39.82</v>
      </c>
      <c r="BC80" s="63">
        <v>40.74</v>
      </c>
      <c r="BD80" s="63">
        <v>40.450000000000003</v>
      </c>
      <c r="BE80" s="63">
        <v>41.06</v>
      </c>
      <c r="BF80" s="63">
        <v>40.6</v>
      </c>
      <c r="BG80" s="91" cm="1">
        <f t="array" aca="1" ref="BG80" ca="1">_FV(EE80,"Preço")</f>
        <v>40.46</v>
      </c>
      <c r="BH80" s="93" t="s">
        <v>78</v>
      </c>
      <c r="BI80" s="32" cm="1">
        <f t="array" aca="1" ref="BI80" ca="1">_FV(EE80,"Beta")</f>
        <v>0.58350000000000002</v>
      </c>
      <c r="BJ80" s="96" cm="1">
        <f t="array" aca="1" ref="BJ80" ca="1">_FV(EE80,"Variação (%)",TRUE)</f>
        <v>2.7260000000000001E-3</v>
      </c>
      <c r="BK80" s="49"/>
      <c r="BL80" s="49"/>
      <c r="BN80" s="32"/>
      <c r="BO80" s="20" cm="1">
        <f t="array" aca="1" ref="BO80" ca="1">_FV(EE80,"Baixo")</f>
        <v>39.76</v>
      </c>
      <c r="BP80" s="20" cm="1">
        <f t="array" aca="1" ref="BP80" ca="1">_FV(EE80,"Alto")</f>
        <v>41.02</v>
      </c>
      <c r="BQ80" s="32"/>
      <c r="BR80" s="74">
        <f ca="1">SQRT(22.5*(BG80/VLOOKUP(BH80,Fundamentus!A:U,3,FALSE))*(BG80/VLOOKUP(BH80,Fundamentus!A:U,4,FALSE)))</f>
        <v>36.65962112233003</v>
      </c>
      <c r="BT80" s="73">
        <f t="shared" ca="1" si="99"/>
        <v>-3.4482758620689793E-3</v>
      </c>
      <c r="BU80" s="36">
        <f t="shared" si="100"/>
        <v>-3.705440900562848E-2</v>
      </c>
      <c r="BV80" s="8"/>
      <c r="BW80" s="72">
        <f t="shared" si="101"/>
        <v>34.950000000000003</v>
      </c>
      <c r="BX80" s="72">
        <f t="shared" si="102"/>
        <v>40.780775862068957</v>
      </c>
      <c r="BY80" s="72">
        <f t="shared" si="103"/>
        <v>46.61</v>
      </c>
      <c r="BZ80" s="17"/>
      <c r="CA80" s="17"/>
      <c r="CB80" s="43">
        <f t="shared" si="104"/>
        <v>40.304281901395136</v>
      </c>
      <c r="CC80" s="18">
        <f t="shared" si="105"/>
        <v>40.754920337394552</v>
      </c>
      <c r="CD80" s="43">
        <f t="shared" si="106"/>
        <v>41.205558773393967</v>
      </c>
      <c r="CE80" s="98">
        <f t="shared" ca="1" si="107"/>
        <v>-0.65445002874751046</v>
      </c>
      <c r="CF80" s="17"/>
      <c r="CG80" s="20">
        <f t="shared" si="108"/>
        <v>23.17</v>
      </c>
      <c r="CH80" s="20">
        <f t="shared" si="109"/>
        <v>29.060000000000002</v>
      </c>
      <c r="CI80" s="20">
        <f t="shared" si="110"/>
        <v>34.83</v>
      </c>
      <c r="CJ80" s="49">
        <f t="shared" si="111"/>
        <v>40.72</v>
      </c>
      <c r="CK80" s="20">
        <f t="shared" si="112"/>
        <v>46.489999999999995</v>
      </c>
      <c r="CL80" s="20">
        <f t="shared" si="113"/>
        <v>52.379999999999995</v>
      </c>
      <c r="CM80" s="20">
        <f t="shared" si="114"/>
        <v>58.149999999999991</v>
      </c>
      <c r="CN80" s="2" cm="1">
        <f t="array" aca="1" ref="CN80" ca="1">MAX(_xlfn._xlws.FILTER(CG80:CM80,CG80:CM80&lt;BG80))</f>
        <v>34.83</v>
      </c>
      <c r="CO80" s="2" cm="1">
        <f t="array" aca="1" ref="CO80" ca="1">MIN(_xlfn._xlws.FILTER($CG80:$CM80,$CG80:$CM80&gt;BG80))</f>
        <v>40.72</v>
      </c>
      <c r="CP80" s="19">
        <f t="shared" ca="1" si="82"/>
        <v>0.16910709158771176</v>
      </c>
      <c r="CQ80" s="23">
        <f t="shared" ca="1" si="83"/>
        <v>-8.4553545793855878E-2</v>
      </c>
      <c r="CR80" s="23">
        <f t="shared" ca="1" si="84"/>
        <v>-5.6369030529237252E-2</v>
      </c>
      <c r="CS80" s="23">
        <f t="shared" ca="1" si="85"/>
        <v>-3.3821418317542352E-2</v>
      </c>
      <c r="CT80" s="23">
        <f t="shared" ca="1" si="86"/>
        <v>-1.8789676843079084E-2</v>
      </c>
      <c r="CU80" s="23">
        <f t="shared" ca="1" si="87"/>
        <v>-9.9474759757477507E-3</v>
      </c>
      <c r="CV80" s="23">
        <f t="shared" ca="1" si="88"/>
        <v>-5.1244573208397504E-3</v>
      </c>
      <c r="CW80" s="23">
        <f t="shared" ca="1" si="89"/>
        <v>-2.6016475628878734E-3</v>
      </c>
      <c r="CX80" s="24">
        <f t="shared" ca="1" si="90"/>
        <v>2.6016475628878734E-3</v>
      </c>
      <c r="CY80" s="24">
        <f t="shared" ca="1" si="91"/>
        <v>5.1244573208397504E-3</v>
      </c>
      <c r="CZ80" s="24">
        <f t="shared" ca="1" si="92"/>
        <v>9.9474759757477507E-3</v>
      </c>
      <c r="DA80" s="24">
        <f t="shared" ca="1" si="93"/>
        <v>1.8789676843079084E-2</v>
      </c>
      <c r="DB80" s="24">
        <f t="shared" ca="1" si="94"/>
        <v>3.3821418317542352E-2</v>
      </c>
      <c r="DC80" s="24">
        <f t="shared" ca="1" si="95"/>
        <v>5.6369030529237252E-2</v>
      </c>
      <c r="DD80" s="24">
        <f t="shared" ca="1" si="96"/>
        <v>8.4553545793855878E-2</v>
      </c>
      <c r="DF80" s="19" cm="1">
        <f t="array" aca="1" ref="DF80" ca="1">MAX(_xlfn._xlws.FILTER(CQ80:DD80,CQ80:DD80&lt;BJ80))</f>
        <v>2.6016475628878734E-3</v>
      </c>
      <c r="DG80" s="19" cm="1">
        <f t="array" aca="1" ref="DG80" ca="1">MIN(_xlfn._xlws.FILTER(CQ80:DD80,CQ80:DD80&gt;BJ80))</f>
        <v>5.1244573208397504E-3</v>
      </c>
      <c r="DH80" s="2" cm="1">
        <f t="array" aca="1" ref="DH80" ca="1">_FV(EE80,"Fechamento anterior",TRUE)</f>
        <v>40.35</v>
      </c>
      <c r="DI80" s="36">
        <f t="shared" ca="1" si="115"/>
        <v>4.9349205698033902E-2</v>
      </c>
      <c r="DJ80" s="18">
        <f t="shared" ca="1" si="97"/>
        <v>40.454976479162525</v>
      </c>
      <c r="DK80" s="18">
        <f t="shared" ca="1" si="98"/>
        <v>40.556771852895885</v>
      </c>
      <c r="DL80" s="9"/>
      <c r="DM80" s="9"/>
      <c r="DN80" s="9"/>
      <c r="DO80" s="9"/>
      <c r="DP80" s="79">
        <v>1.2796659605170249E-2</v>
      </c>
      <c r="DQ80" s="79">
        <v>1.2796659605170249E-2</v>
      </c>
      <c r="DR80" s="79">
        <v>4.1058800872204012E-3</v>
      </c>
      <c r="DS80" s="79">
        <f t="shared" ca="1" si="116"/>
        <v>2.522809757951877E-3</v>
      </c>
      <c r="DT80" s="47"/>
      <c r="DU80" s="43">
        <f t="shared" si="117"/>
        <v>0.22531921799970808</v>
      </c>
      <c r="DV80" s="83">
        <f t="shared" ca="1" si="118"/>
        <v>1.0096000000000001</v>
      </c>
      <c r="DW80" s="83">
        <f t="shared" ca="1" si="119"/>
        <v>0.31090000000000001</v>
      </c>
      <c r="DX80" s="83">
        <f t="shared" ca="1" si="120"/>
        <v>0.6987000000000001</v>
      </c>
      <c r="DY80" s="67"/>
      <c r="DZ80" s="67"/>
      <c r="EA80" s="85"/>
      <c r="EB80" s="44">
        <v>1173300</v>
      </c>
      <c r="EC80" s="44" cm="1">
        <f t="array" aca="1" ref="EC80" ca="1">_FV(EE80,"Volume")</f>
        <v>1704300</v>
      </c>
      <c r="EE80" s="2" t="e" vm="80">
        <v>#VALUE!</v>
      </c>
      <c r="EG80" s="10" cm="1">
        <f t="array" aca="1" ref="EG80" ca="1">_FV(EE80,"Ações em circulação",TRUE)</f>
        <v>815927700</v>
      </c>
      <c r="EH80" s="21">
        <f>VLOOKUP(BH80,Fundamentus!A:U,5,FALSE)</f>
        <v>2.8740000000000001</v>
      </c>
      <c r="EI80" s="2">
        <f t="shared" ca="1" si="121"/>
        <v>11486581329.853861</v>
      </c>
      <c r="EJ80" s="20">
        <v>3416403407.5741124</v>
      </c>
      <c r="EK80" s="20">
        <f t="shared" ca="1" si="122"/>
        <v>3404622706.1686845</v>
      </c>
      <c r="EM80" s="40" t="str">
        <f>IF(VLOOKUP(BH80,Fundamentus!A:U,3,FALSE)&lt;15,"Bom",IF(VLOOKUP(BH80,Fundamentus!A:U,3,FALSE)&gt;15,"Ruim","n/a"))</f>
        <v>Bom</v>
      </c>
      <c r="EN80" s="36" t="str">
        <f>IF(VLOOKUP(BH80,Fundamentus!A:U,4,FALSE)&lt;1,"Baixo",IF(VLOOKUP(BH80,Fundamentus!A:U,4,FALSE)&lt;1.5,"Moderado",IF(VLOOKUP(BH80,Fundamentus!A:U,4,FALSE)&gt;1.5,"Alto","n/a")))</f>
        <v>Alto</v>
      </c>
      <c r="EO80" s="20" t="str">
        <f>IF(VLOOKUP(BH80,Fundamentus!A:U,8,FALSE)&lt;0,"Risco elevado",IF(VLOOKUP(BH80,Fundamentus!A:U,8,FALSE)&lt;1,"Saudável",IF(VLOOKUP(BH80,Fundamentus!A:U,8,FALSE)&lt;3,"Estável",IF(VLOOKUP(BH80,Fundamentus!A:U,8,FALSE)&gt;3,"Alerta","n/a"))))</f>
        <v>Alerta</v>
      </c>
      <c r="EP80" s="36" t="str">
        <f t="shared" si="123"/>
        <v>Bom</v>
      </c>
      <c r="EQ80" s="20" t="str">
        <f>IF(VLOOKUP(BH80,Fundamentus!A:U,12,FALSE)&lt;2,"Subvalorizada",IF(VLOOKUP(BH80,Fundamentus!A:U,12,FALSE)&lt;6,"Muita barata",IF(VLOOKUP(BH80,Fundamentus!A:U,12,FALSE)&lt;6,"Barata",IF(VLOOKUP(BH80,Fundamentus!A:U,12,FALSE)&lt;8,"Atrativa",IF(VLOOKUP(BH80,Fundamentus!A:U,12,FALSE)&gt;8,"Supervalorizada","n/a")))))</f>
        <v>Atrativa</v>
      </c>
      <c r="ES80" s="20" t="str">
        <f>IF(VLOOKUP(BH80,Fundamentus!A:U,17,FALSE)&lt;0.1,"Fraco retorno",IF(VLOOKUP(BH80,Fundamentus!A:U,17,FALSE)&gt;0.1,"Bom retorno","n/a"))</f>
        <v>Bom retorno</v>
      </c>
      <c r="ET80" s="20" t="str">
        <f>IF(VLOOKUP(BH80,Fundamentus!A:U,16,FALSE)&lt;0.1,"Ineficiente",IF(VLOOKUP(BH80,Fundamentus!A:U,16,FALSE)&gt;0.1,"Eficiente","n/a"))</f>
        <v>Eficiente</v>
      </c>
      <c r="EU80" s="41" t="str">
        <f>IF(VLOOKUP(BH80,Fundamentus!A:U,16,FALSE)&lt;0.1,"Oper. Ineficiente",IF(VLOOKUP(BH80,Fundamentus!A:U,16,FALSE)&gt;0.1,"Oper.Eficiente","n/a"))</f>
        <v>Oper.Eficiente</v>
      </c>
      <c r="EV80" s="42">
        <f>VLOOKUP(BH80,Fundamentus!A:U,14,FALSE)</f>
        <v>0.2964</v>
      </c>
      <c r="EW80" s="20" t="str">
        <f>IF(VLOOKUP(BH80,Fundamentus!A:U,21,FALSE)&lt;0,"Negativo",IF(VLOOKUP(BH80,Fundamentus!A:U,21,FALSE)&lt;0.05,"Fraco",IF(VLOOKUP(BH80,Fundamentus!A:U,21,FALSE)&lt;0.1,"Bom",IF(VLOOKUP(BH80,Fundamentus!A:U,21,FALSE)&gt;0.1,"Muito bom","n/a"))))</f>
        <v>Negativo</v>
      </c>
      <c r="EY80" s="37" t="str">
        <f>IF(VLOOKUP(BH80,Fundamentus!A:U,15,FALSE)&gt;1,"Bom",IF(VLOOKUP(BH80,Fundamentus!A:U,15,FALSE)&lt;1,"Ruim","n/a"))</f>
        <v>Bom</v>
      </c>
      <c r="EZ80" s="20" t="str">
        <f>IF(VLOOKUP(BH80,Fundamentus!A:U,20,FALSE)&lt;0.5,"Baixa",IF(VLOOKUP(BH80,Fundamentus!A:U,20,FALSE)&lt;1,"Moderada",IF(VLOOKUP(BH80,Fundamentus!A:U,20,FALSE)&lt;2,"Alerta",IF(VLOOKUP(BH80,Fundamentus!A:U,20,FALSE)&gt;2,"Alta","n/a"))))</f>
        <v>Alta</v>
      </c>
      <c r="FA80" s="10"/>
    </row>
    <row r="81" spans="1:157" s="2" customFormat="1" ht="11.25" hidden="1" x14ac:dyDescent="0.2">
      <c r="A81" s="4">
        <v>23.86</v>
      </c>
      <c r="B81" s="4">
        <v>24.61</v>
      </c>
      <c r="C81" s="4">
        <v>29.19</v>
      </c>
      <c r="D81" s="4">
        <v>29.18</v>
      </c>
      <c r="E81" s="4">
        <v>28.86</v>
      </c>
      <c r="F81" s="4">
        <v>29.24</v>
      </c>
      <c r="G81" s="4">
        <v>28.61</v>
      </c>
      <c r="H81" s="4">
        <v>30.67</v>
      </c>
      <c r="I81" s="4">
        <v>32.270000000000003</v>
      </c>
      <c r="J81" s="4">
        <v>31.2</v>
      </c>
      <c r="K81" s="4">
        <v>32.1</v>
      </c>
      <c r="L81" s="4">
        <v>31.22</v>
      </c>
      <c r="M81" s="4">
        <v>33.020000000000003</v>
      </c>
      <c r="N81" s="4">
        <v>33.159999999999997</v>
      </c>
      <c r="O81" s="4">
        <v>33.31</v>
      </c>
      <c r="P81" s="4">
        <v>36.53</v>
      </c>
      <c r="Q81" s="4">
        <v>34.83</v>
      </c>
      <c r="R81" s="4">
        <v>35</v>
      </c>
      <c r="S81" s="4">
        <v>34.340000000000003</v>
      </c>
      <c r="T81" s="4">
        <v>33.06</v>
      </c>
      <c r="U81" s="4">
        <v>32.340000000000003</v>
      </c>
      <c r="V81" s="4">
        <v>31.11</v>
      </c>
      <c r="W81" s="4">
        <v>32.44</v>
      </c>
      <c r="X81" s="4">
        <v>31.87</v>
      </c>
      <c r="Y81" s="4">
        <v>34.58</v>
      </c>
      <c r="Z81" s="4">
        <v>34.619999999999997</v>
      </c>
      <c r="AA81" s="4">
        <v>35.5</v>
      </c>
      <c r="AB81" s="4">
        <v>34.97</v>
      </c>
      <c r="AC81" s="4">
        <v>35.200000000000003</v>
      </c>
      <c r="AD81" s="4">
        <v>35.65</v>
      </c>
      <c r="AE81" s="4">
        <v>37.24</v>
      </c>
      <c r="AF81" s="4">
        <v>39.020000000000003</v>
      </c>
      <c r="AG81" s="4">
        <v>38.44</v>
      </c>
      <c r="AH81" s="4">
        <v>37.21</v>
      </c>
      <c r="AI81" s="4">
        <v>36.21</v>
      </c>
      <c r="AJ81" s="4">
        <v>36.33</v>
      </c>
      <c r="AK81" s="4">
        <v>35.35</v>
      </c>
      <c r="AL81" s="4">
        <v>33.85</v>
      </c>
      <c r="AM81" s="4">
        <v>33.64</v>
      </c>
      <c r="AN81" s="4">
        <v>35.44</v>
      </c>
      <c r="AO81" s="4">
        <v>34.56</v>
      </c>
      <c r="AP81" s="4">
        <v>33.54</v>
      </c>
      <c r="AQ81" s="4">
        <v>31.44</v>
      </c>
      <c r="AR81" s="4">
        <v>30.99</v>
      </c>
      <c r="AS81" s="4">
        <v>31.5</v>
      </c>
      <c r="AT81" s="4">
        <v>33.229999999999997</v>
      </c>
      <c r="AU81" s="4">
        <v>41.46</v>
      </c>
      <c r="AV81" s="4">
        <v>41.58</v>
      </c>
      <c r="AW81" s="4">
        <v>40.79</v>
      </c>
      <c r="AX81" s="4">
        <v>41.33</v>
      </c>
      <c r="AY81" s="12">
        <v>43.55</v>
      </c>
      <c r="AZ81" s="12">
        <v>47.87</v>
      </c>
      <c r="BA81" s="12">
        <v>44.08</v>
      </c>
      <c r="BB81" s="18">
        <v>42.5</v>
      </c>
      <c r="BC81" s="63">
        <v>39.18</v>
      </c>
      <c r="BD81" s="63">
        <v>41.74</v>
      </c>
      <c r="BE81" s="63">
        <v>40.119999999999997</v>
      </c>
      <c r="BF81" s="63">
        <v>39.03</v>
      </c>
      <c r="BG81" s="91" cm="1">
        <f t="array" aca="1" ref="BG81" ca="1">_FV(EE81,"Preço")</f>
        <v>39.03</v>
      </c>
      <c r="BH81" s="93" t="s">
        <v>79</v>
      </c>
      <c r="BI81" s="32" cm="1">
        <f t="array" aca="1" ref="BI81" ca="1">_FV(EE81,"Beta")</f>
        <v>0.49909999999999999</v>
      </c>
      <c r="BJ81" s="96" cm="1">
        <f t="array" aca="1" ref="BJ81" ca="1">_FV(EE81,"Variação (%)",TRUE)</f>
        <v>0</v>
      </c>
      <c r="BK81" s="49"/>
      <c r="BL81" s="49"/>
      <c r="BN81" s="32"/>
      <c r="BO81" s="20" cm="1">
        <f t="array" aca="1" ref="BO81" ca="1">_FV(EE81,"Baixo")</f>
        <v>38.4</v>
      </c>
      <c r="BP81" s="20" cm="1">
        <f t="array" aca="1" ref="BP81" ca="1">_FV(EE81,"Alto")</f>
        <v>40.06</v>
      </c>
      <c r="BQ81" s="32"/>
      <c r="BR81" s="74">
        <f ca="1">SQRT(22.5*(BG81/VLOOKUP(BH81,Fundamentus!A:U,3,FALSE))*(BG81/VLOOKUP(BH81,Fundamentus!A:U,4,FALSE)))</f>
        <v>47.349399259996687</v>
      </c>
      <c r="BT81" s="73">
        <f t="shared" ca="1" si="99"/>
        <v>0</v>
      </c>
      <c r="BU81" s="36">
        <f t="shared" si="100"/>
        <v>0.68147527242246431</v>
      </c>
      <c r="BV81" s="8"/>
      <c r="BW81" s="72">
        <f t="shared" si="101"/>
        <v>23.86</v>
      </c>
      <c r="BX81" s="72">
        <f t="shared" si="102"/>
        <v>34.892413793103444</v>
      </c>
      <c r="BY81" s="72">
        <f t="shared" si="103"/>
        <v>47.87</v>
      </c>
      <c r="BZ81" s="17"/>
      <c r="CA81" s="17"/>
      <c r="CB81" s="43">
        <f t="shared" si="104"/>
        <v>37.433803494250306</v>
      </c>
      <c r="CC81" s="18">
        <f t="shared" si="105"/>
        <v>39.591134020618483</v>
      </c>
      <c r="CD81" s="43">
        <f t="shared" si="106"/>
        <v>41.748464546986661</v>
      </c>
      <c r="CE81" s="98">
        <f t="shared" ca="1" si="107"/>
        <v>-0.26010572499668833</v>
      </c>
      <c r="CF81" s="17"/>
      <c r="CG81" s="20">
        <f t="shared" si="108"/>
        <v>1.9599999999999937</v>
      </c>
      <c r="CH81" s="20">
        <f t="shared" si="109"/>
        <v>12.909999999999997</v>
      </c>
      <c r="CI81" s="20">
        <f t="shared" si="110"/>
        <v>25.969999999999992</v>
      </c>
      <c r="CJ81" s="49">
        <f t="shared" si="111"/>
        <v>36.919999999999995</v>
      </c>
      <c r="CK81" s="20">
        <f t="shared" si="112"/>
        <v>49.97999999999999</v>
      </c>
      <c r="CL81" s="20">
        <f t="shared" si="113"/>
        <v>60.929999999999993</v>
      </c>
      <c r="CM81" s="20">
        <f t="shared" si="114"/>
        <v>73.989999999999981</v>
      </c>
      <c r="CN81" s="2" cm="1">
        <f t="array" aca="1" ref="CN81" ca="1">MAX(_xlfn._xlws.FILTER(CG81:CM81,CG81:CM81&lt;BG81))</f>
        <v>36.919999999999995</v>
      </c>
      <c r="CO81" s="2" cm="1">
        <f t="array" aca="1" ref="CO81" ca="1">MIN(_xlfn._xlws.FILTER($CG81:$CM81,$CG81:$CM81&gt;BG81))</f>
        <v>49.97999999999999</v>
      </c>
      <c r="CP81" s="19">
        <f t="shared" ca="1" si="82"/>
        <v>0.35373781148429018</v>
      </c>
      <c r="CQ81" s="23">
        <f t="shared" ca="1" si="83"/>
        <v>-0.17686890574214509</v>
      </c>
      <c r="CR81" s="23">
        <f t="shared" ca="1" si="84"/>
        <v>-0.11791260382809672</v>
      </c>
      <c r="CS81" s="23">
        <f t="shared" ca="1" si="85"/>
        <v>-7.0747562296858038E-2</v>
      </c>
      <c r="CT81" s="23">
        <f t="shared" ca="1" si="86"/>
        <v>-3.9304201276032243E-2</v>
      </c>
      <c r="CU81" s="23">
        <f t="shared" ca="1" si="87"/>
        <v>-2.0808106557899421E-2</v>
      </c>
      <c r="CV81" s="23">
        <f t="shared" ca="1" si="88"/>
        <v>-1.0719327620736066E-2</v>
      </c>
      <c r="CW81" s="23">
        <f t="shared" ca="1" si="89"/>
        <v>-5.4421201766813873E-3</v>
      </c>
      <c r="CX81" s="24">
        <f t="shared" ca="1" si="90"/>
        <v>5.4421201766813873E-3</v>
      </c>
      <c r="CY81" s="24">
        <f t="shared" ca="1" si="91"/>
        <v>1.0719327620736066E-2</v>
      </c>
      <c r="CZ81" s="24">
        <f t="shared" ca="1" si="92"/>
        <v>2.0808106557899421E-2</v>
      </c>
      <c r="DA81" s="24">
        <f t="shared" ca="1" si="93"/>
        <v>3.9304201276032243E-2</v>
      </c>
      <c r="DB81" s="24">
        <f t="shared" ca="1" si="94"/>
        <v>7.0747562296858038E-2</v>
      </c>
      <c r="DC81" s="24">
        <f t="shared" ca="1" si="95"/>
        <v>0.11791260382809672</v>
      </c>
      <c r="DD81" s="24">
        <f t="shared" ca="1" si="96"/>
        <v>0.17686890574214509</v>
      </c>
      <c r="DF81" s="19" cm="1">
        <f t="array" aca="1" ref="DF81" ca="1">MAX(_xlfn._xlws.FILTER(CQ81:DD81,CQ81:DD81&lt;BJ81))</f>
        <v>-5.4421201766813873E-3</v>
      </c>
      <c r="DG81" s="19" cm="1">
        <f t="array" aca="1" ref="DG81" ca="1">MIN(_xlfn._xlws.FILTER(CQ81:DD81,CQ81:DD81&gt;BJ81))</f>
        <v>5.4421201766813873E-3</v>
      </c>
      <c r="DH81" s="2" cm="1">
        <f t="array" aca="1" ref="DH81" ca="1">_FV(EE81,"Fechamento anterior",TRUE)</f>
        <v>38.29</v>
      </c>
      <c r="DI81" s="36">
        <f t="shared" ca="1" si="115"/>
        <v>2.2756126474151319</v>
      </c>
      <c r="DJ81" s="18">
        <f t="shared" ca="1" si="97"/>
        <v>38.081621218434869</v>
      </c>
      <c r="DK81" s="18">
        <f t="shared" ca="1" si="98"/>
        <v>38.49837878156513</v>
      </c>
      <c r="DL81" s="9"/>
      <c r="DM81" s="9"/>
      <c r="DN81" s="9"/>
      <c r="DO81" s="9"/>
      <c r="DP81" s="79">
        <v>3.7471612322538149E-3</v>
      </c>
      <c r="DQ81" s="79">
        <v>1.1451123471583832E-2</v>
      </c>
      <c r="DR81" s="79">
        <v>1.313343275030136E-2</v>
      </c>
      <c r="DS81" s="79">
        <f t="shared" ca="1" si="116"/>
        <v>1.0884240353362775E-2</v>
      </c>
      <c r="DT81" s="47"/>
      <c r="DU81" s="43">
        <f t="shared" si="117"/>
        <v>1.0786652631840894</v>
      </c>
      <c r="DV81" s="83">
        <f t="shared" ca="1" si="118"/>
        <v>0.92520000000000002</v>
      </c>
      <c r="DW81" s="83">
        <f t="shared" ca="1" si="119"/>
        <v>0.49909999999999999</v>
      </c>
      <c r="DX81" s="83">
        <f t="shared" ca="1" si="120"/>
        <v>0.42610000000000003</v>
      </c>
      <c r="DY81" s="67"/>
      <c r="DZ81" s="67"/>
      <c r="EA81" s="85"/>
      <c r="EB81" s="44">
        <v>94391100</v>
      </c>
      <c r="EC81" s="44" cm="1">
        <f t="array" aca="1" ref="EC81" ca="1">_FV(EE81,"Volume")</f>
        <v>94391100</v>
      </c>
      <c r="EE81" s="2" t="e" vm="81">
        <v>#VALUE!</v>
      </c>
      <c r="EG81" s="10" cm="1">
        <f t="array" aca="1" ref="EG81" ca="1">_FV(EE81,"Ações em circulação",TRUE)</f>
        <v>2218116000</v>
      </c>
      <c r="EH81" s="21">
        <f>VLOOKUP(BH81,Fundamentus!A:U,5,FALSE)</f>
        <v>0.192</v>
      </c>
      <c r="EI81" s="2">
        <f t="shared" ca="1" si="121"/>
        <v>450901393125</v>
      </c>
      <c r="EJ81" s="20">
        <v>12399788310.9375</v>
      </c>
      <c r="EK81" s="20">
        <f t="shared" ca="1" si="122"/>
        <v>12399788310.9375</v>
      </c>
      <c r="EM81" s="40" t="str">
        <f>IF(VLOOKUP(BH81,Fundamentus!A:U,3,FALSE)&lt;15,"Bom",IF(VLOOKUP(BH81,Fundamentus!A:U,3,FALSE)&gt;15,"Ruim","n/a"))</f>
        <v>Bom</v>
      </c>
      <c r="EN81" s="36" t="str">
        <f>IF(VLOOKUP(BH81,Fundamentus!A:U,4,FALSE)&lt;1,"Baixo",IF(VLOOKUP(BH81,Fundamentus!A:U,4,FALSE)&lt;1.5,"Moderado",IF(VLOOKUP(BH81,Fundamentus!A:U,4,FALSE)&gt;1.5,"Alto","n/a")))</f>
        <v>Alto</v>
      </c>
      <c r="EO81" s="20" t="str">
        <f>IF(VLOOKUP(BH81,Fundamentus!A:U,8,FALSE)&lt;0,"Risco elevado",IF(VLOOKUP(BH81,Fundamentus!A:U,8,FALSE)&lt;1,"Saudável",IF(VLOOKUP(BH81,Fundamentus!A:U,8,FALSE)&lt;3,"Estável",IF(VLOOKUP(BH81,Fundamentus!A:U,8,FALSE)&gt;3,"Alerta","n/a"))))</f>
        <v>Estável</v>
      </c>
      <c r="EP81" s="36" t="str">
        <f t="shared" si="123"/>
        <v>Ruim</v>
      </c>
      <c r="EQ81" s="20" t="str">
        <f>IF(VLOOKUP(BH81,Fundamentus!A:U,12,FALSE)&lt;2,"Subvalorizada",IF(VLOOKUP(BH81,Fundamentus!A:U,12,FALSE)&lt;6,"Muita barata",IF(VLOOKUP(BH81,Fundamentus!A:U,12,FALSE)&lt;6,"Barata",IF(VLOOKUP(BH81,Fundamentus!A:U,12,FALSE)&lt;8,"Atrativa",IF(VLOOKUP(BH81,Fundamentus!A:U,12,FALSE)&gt;8,"Supervalorizada","n/a")))))</f>
        <v>Muita barata</v>
      </c>
      <c r="ES81" s="20" t="str">
        <f>IF(VLOOKUP(BH81,Fundamentus!A:U,17,FALSE)&lt;0.1,"Fraco retorno",IF(VLOOKUP(BH81,Fundamentus!A:U,17,FALSE)&gt;0.1,"Bom retorno","n/a"))</f>
        <v>Bom retorno</v>
      </c>
      <c r="ET81" s="20" t="str">
        <f>IF(VLOOKUP(BH81,Fundamentus!A:U,16,FALSE)&lt;0.1,"Ineficiente",IF(VLOOKUP(BH81,Fundamentus!A:U,16,FALSE)&gt;0.1,"Eficiente","n/a"))</f>
        <v>Eficiente</v>
      </c>
      <c r="EU81" s="41" t="str">
        <f>IF(VLOOKUP(BH81,Fundamentus!A:U,16,FALSE)&lt;0.1,"Oper. Ineficiente",IF(VLOOKUP(BH81,Fundamentus!A:U,16,FALSE)&gt;0.1,"Oper.Eficiente","n/a"))</f>
        <v>Oper.Eficiente</v>
      </c>
      <c r="EV81" s="42">
        <f>VLOOKUP(BH81,Fundamentus!A:U,14,FALSE)</f>
        <v>2.75E-2</v>
      </c>
      <c r="EW81" s="20" t="str">
        <f>IF(VLOOKUP(BH81,Fundamentus!A:U,21,FALSE)&lt;0,"Negativo",IF(VLOOKUP(BH81,Fundamentus!A:U,21,FALSE)&lt;0.05,"Fraco",IF(VLOOKUP(BH81,Fundamentus!A:U,21,FALSE)&lt;0.1,"Bom",IF(VLOOKUP(BH81,Fundamentus!A:U,21,FALSE)&gt;0.1,"Muito bom","n/a"))))</f>
        <v>Bom</v>
      </c>
      <c r="EY81" s="37" t="str">
        <f>IF(VLOOKUP(BH81,Fundamentus!A:U,15,FALSE)&gt;1,"Bom",IF(VLOOKUP(BH81,Fundamentus!A:U,15,FALSE)&lt;1,"Ruim","n/a"))</f>
        <v>Bom</v>
      </c>
      <c r="EZ81" s="20" t="str">
        <f>IF(VLOOKUP(BH81,Fundamentus!A:U,20,FALSE)&lt;0.5,"Baixa",IF(VLOOKUP(BH81,Fundamentus!A:U,20,FALSE)&lt;1,"Moderada",IF(VLOOKUP(BH81,Fundamentus!A:U,20,FALSE)&lt;2,"Alerta",IF(VLOOKUP(BH81,Fundamentus!A:U,20,FALSE)&gt;2,"Alta","n/a"))))</f>
        <v>Alta</v>
      </c>
      <c r="FA81" s="10"/>
    </row>
    <row r="82" spans="1:157" s="2" customFormat="1" ht="11.25" hidden="1" x14ac:dyDescent="0.2">
      <c r="A82" s="4">
        <v>6.11</v>
      </c>
      <c r="B82" s="4">
        <v>5.88</v>
      </c>
      <c r="C82" s="4">
        <v>5.97</v>
      </c>
      <c r="D82" s="4">
        <v>5.45</v>
      </c>
      <c r="E82" s="4">
        <v>5.27</v>
      </c>
      <c r="F82" s="4">
        <v>5.4</v>
      </c>
      <c r="G82" s="4">
        <v>5.35</v>
      </c>
      <c r="H82" s="4">
        <v>5.0999999999999996</v>
      </c>
      <c r="I82" s="4">
        <v>5.22</v>
      </c>
      <c r="J82" s="4">
        <v>5.39</v>
      </c>
      <c r="K82" s="4">
        <v>5.44</v>
      </c>
      <c r="L82" s="4">
        <v>5.53</v>
      </c>
      <c r="M82" s="4">
        <v>5.78</v>
      </c>
      <c r="N82" s="4">
        <v>5.69</v>
      </c>
      <c r="O82" s="4">
        <v>6.15</v>
      </c>
      <c r="P82" s="4">
        <v>5.76</v>
      </c>
      <c r="Q82" s="4">
        <v>6.42</v>
      </c>
      <c r="R82" s="4">
        <v>6.32</v>
      </c>
      <c r="S82" s="4">
        <v>6.2</v>
      </c>
      <c r="T82" s="4">
        <v>6.18</v>
      </c>
      <c r="U82" s="4">
        <v>5.9</v>
      </c>
      <c r="V82" s="4">
        <v>5.55</v>
      </c>
      <c r="W82" s="4">
        <v>5.5</v>
      </c>
      <c r="X82" s="4">
        <v>5.7</v>
      </c>
      <c r="Y82" s="4">
        <v>5.7</v>
      </c>
      <c r="Z82" s="4">
        <v>6.28</v>
      </c>
      <c r="AA82" s="4">
        <v>6.95</v>
      </c>
      <c r="AB82" s="4">
        <v>7.47</v>
      </c>
      <c r="AC82" s="4">
        <v>7.05</v>
      </c>
      <c r="AD82" s="4">
        <v>6.84</v>
      </c>
      <c r="AE82" s="4">
        <v>7.04</v>
      </c>
      <c r="AF82" s="4">
        <v>7.01</v>
      </c>
      <c r="AG82" s="4">
        <v>6.3</v>
      </c>
      <c r="AH82" s="4">
        <v>6.09</v>
      </c>
      <c r="AI82" s="4">
        <v>6.28</v>
      </c>
      <c r="AJ82" s="4">
        <v>6.09</v>
      </c>
      <c r="AK82" s="4">
        <v>6.09</v>
      </c>
      <c r="AL82" s="4">
        <v>6.33</v>
      </c>
      <c r="AM82" s="4">
        <v>6.24</v>
      </c>
      <c r="AN82" s="4">
        <v>6.53</v>
      </c>
      <c r="AO82" s="4">
        <v>6.22</v>
      </c>
      <c r="AP82" s="4">
        <v>6.5</v>
      </c>
      <c r="AQ82" s="4">
        <v>6.84</v>
      </c>
      <c r="AR82" s="4">
        <v>6.75</v>
      </c>
      <c r="AS82" s="4">
        <v>6.92</v>
      </c>
      <c r="AT82" s="4">
        <v>7.34</v>
      </c>
      <c r="AU82" s="4">
        <v>7.35</v>
      </c>
      <c r="AV82" s="4">
        <v>7.32</v>
      </c>
      <c r="AW82" s="4">
        <v>6.74</v>
      </c>
      <c r="AX82" s="4">
        <v>7</v>
      </c>
      <c r="AY82" s="12">
        <v>7.5</v>
      </c>
      <c r="AZ82" s="12">
        <v>7.85</v>
      </c>
      <c r="BA82" s="12">
        <v>8.09</v>
      </c>
      <c r="BB82" s="18">
        <v>8.2100000000000009</v>
      </c>
      <c r="BC82" s="63">
        <v>8.15</v>
      </c>
      <c r="BD82" s="63">
        <v>8.5399999999999991</v>
      </c>
      <c r="BE82" s="63">
        <v>8.7200000000000006</v>
      </c>
      <c r="BF82" s="63">
        <v>8.43</v>
      </c>
      <c r="BG82" s="91" cm="1">
        <f t="array" aca="1" ref="BG82" ca="1">_FV(EE82,"Preço")</f>
        <v>8.69</v>
      </c>
      <c r="BH82" s="93" t="s">
        <v>80</v>
      </c>
      <c r="BI82" s="32" cm="1">
        <f t="array" aca="1" ref="BI82" ca="1">_FV(EE82,"Beta")</f>
        <v>1.3019000000000001</v>
      </c>
      <c r="BJ82" s="96" cm="1">
        <f t="array" aca="1" ref="BJ82" ca="1">_FV(EE82,"Variação (%)",TRUE)</f>
        <v>-5.7210000000000004E-3</v>
      </c>
      <c r="BK82" s="49"/>
      <c r="BL82" s="49"/>
      <c r="BN82" s="32"/>
      <c r="BO82" s="20" cm="1">
        <f t="array" aca="1" ref="BO82" ca="1">_FV(EE82,"Baixo")</f>
        <v>8.57</v>
      </c>
      <c r="BP82" s="20" cm="1">
        <f t="array" aca="1" ref="BP82" ca="1">_FV(EE82,"Alto")</f>
        <v>8.81</v>
      </c>
      <c r="BQ82" s="32"/>
      <c r="BR82" s="74">
        <f ca="1">SQRT(22.5*(BG82/VLOOKUP(BH82,Fundamentus!A:U,3,FALSE))*(BG82/VLOOKUP(BH82,Fundamentus!A:U,4,FALSE)))</f>
        <v>15.816565962114602</v>
      </c>
      <c r="BT82" s="73">
        <f t="shared" ca="1" si="99"/>
        <v>3.0842230130486335E-2</v>
      </c>
      <c r="BU82" s="36">
        <f t="shared" si="100"/>
        <v>0.42716857610474634</v>
      </c>
      <c r="BV82" s="8"/>
      <c r="BW82" s="72">
        <f t="shared" si="101"/>
        <v>5.0999999999999996</v>
      </c>
      <c r="BX82" s="72">
        <f t="shared" si="102"/>
        <v>6.4831034482758625</v>
      </c>
      <c r="BY82" s="72">
        <f t="shared" si="103"/>
        <v>8.7200000000000006</v>
      </c>
      <c r="BZ82" s="17"/>
      <c r="CA82" s="17"/>
      <c r="CB82" s="43">
        <f t="shared" si="104"/>
        <v>8.3046603556191414</v>
      </c>
      <c r="CC82" s="18">
        <f t="shared" si="105"/>
        <v>8.7181818181818471</v>
      </c>
      <c r="CD82" s="43">
        <f t="shared" si="106"/>
        <v>9.1317032807445528</v>
      </c>
      <c r="CE82" s="98">
        <f t="shared" ca="1" si="107"/>
        <v>-6.8150799252830005E-2</v>
      </c>
      <c r="CF82" s="17"/>
      <c r="CG82" s="20">
        <f t="shared" si="108"/>
        <v>2.4933333333333323</v>
      </c>
      <c r="CH82" s="20">
        <f t="shared" si="109"/>
        <v>3.796666666666666</v>
      </c>
      <c r="CI82" s="20">
        <f t="shared" si="110"/>
        <v>6.1133333333333333</v>
      </c>
      <c r="CJ82" s="49">
        <f t="shared" si="111"/>
        <v>7.416666666666667</v>
      </c>
      <c r="CK82" s="20">
        <f t="shared" si="112"/>
        <v>9.7333333333333343</v>
      </c>
      <c r="CL82" s="20">
        <f t="shared" si="113"/>
        <v>11.036666666666669</v>
      </c>
      <c r="CM82" s="20">
        <f t="shared" si="114"/>
        <v>13.353333333333335</v>
      </c>
      <c r="CN82" s="2" cm="1">
        <f t="array" aca="1" ref="CN82" ca="1">MAX(_xlfn._xlws.FILTER(CG82:CM82,CG82:CM82&lt;BG82))</f>
        <v>7.416666666666667</v>
      </c>
      <c r="CO82" s="2" cm="1">
        <f t="array" aca="1" ref="CO82" ca="1">MIN(_xlfn._xlws.FILTER($CG82:$CM82,$CG82:$CM82&gt;BG82))</f>
        <v>9.7333333333333343</v>
      </c>
      <c r="CP82" s="19">
        <f t="shared" ref="CP82:CP113" ca="1" si="124">(CO82/CN82)-1</f>
        <v>0.31235955056179776</v>
      </c>
      <c r="CQ82" s="23">
        <f t="shared" ref="CQ82:CQ113" ca="1" si="125">-$CP82/2</f>
        <v>-0.15617977528089888</v>
      </c>
      <c r="CR82" s="23">
        <f t="shared" ref="CR82:CR113" ca="1" si="126">-$CP82/3</f>
        <v>-0.10411985018726592</v>
      </c>
      <c r="CS82" s="23">
        <f t="shared" ref="CS82:CS113" ca="1" si="127">-$CP82/5</f>
        <v>-6.2471910112359551E-2</v>
      </c>
      <c r="CT82" s="23">
        <f t="shared" ref="CT82:CT113" ca="1" si="128">-$CP82/9</f>
        <v>-3.4706616729088639E-2</v>
      </c>
      <c r="CU82" s="23">
        <f t="shared" ref="CU82:CU113" ca="1" si="129">-$CP82/17</f>
        <v>-1.8374091209517517E-2</v>
      </c>
      <c r="CV82" s="23">
        <f t="shared" ref="CV82:CV113" ca="1" si="130">-$CP82/33</f>
        <v>-9.4654409261150842E-3</v>
      </c>
      <c r="CW82" s="23">
        <f t="shared" ref="CW82:CW113" ca="1" si="131">-$CP82/65</f>
        <v>-4.8055315471045813E-3</v>
      </c>
      <c r="CX82" s="24">
        <f t="shared" ref="CX82:CX113" ca="1" si="132">-$CP82/65*-1</f>
        <v>4.8055315471045813E-3</v>
      </c>
      <c r="CY82" s="24">
        <f t="shared" ref="CY82:CY113" ca="1" si="133">-$CP82/33*-1</f>
        <v>9.4654409261150842E-3</v>
      </c>
      <c r="CZ82" s="24">
        <f t="shared" ref="CZ82:CZ113" ca="1" si="134">-$CP82/17*-1</f>
        <v>1.8374091209517517E-2</v>
      </c>
      <c r="DA82" s="24">
        <f t="shared" ref="DA82:DA113" ca="1" si="135">-$CP82/9*-1</f>
        <v>3.4706616729088639E-2</v>
      </c>
      <c r="DB82" s="24">
        <f t="shared" ref="DB82:DB113" ca="1" si="136">-$CP82/5*-1</f>
        <v>6.2471910112359551E-2</v>
      </c>
      <c r="DC82" s="24">
        <f t="shared" ref="DC82:DC113" ca="1" si="137">-$CP82/3*-1</f>
        <v>0.10411985018726592</v>
      </c>
      <c r="DD82" s="24">
        <f t="shared" ref="DD82:DD113" ca="1" si="138">-$CP82/2*-1</f>
        <v>0.15617977528089888</v>
      </c>
      <c r="DF82" s="19" cm="1">
        <f t="array" aca="1" ref="DF82" ca="1">MAX(_xlfn._xlws.FILTER(CQ82:DD82,CQ82:DD82&lt;BJ82))</f>
        <v>-9.4654409261150842E-3</v>
      </c>
      <c r="DG82" s="19" cm="1">
        <f t="array" aca="1" ref="DG82" ca="1">MIN(_xlfn._xlws.FILTER(CQ82:DD82,CQ82:DD82&gt;BJ82))</f>
        <v>-4.8055315471045813E-3</v>
      </c>
      <c r="DH82" s="2" cm="1">
        <f t="array" aca="1" ref="DH82" ca="1">_FV(EE82,"Fechamento anterior",TRUE)</f>
        <v>8.74</v>
      </c>
      <c r="DI82" s="36">
        <f t="shared" ca="1" si="115"/>
        <v>0.80358153408622546</v>
      </c>
      <c r="DJ82" s="18">
        <f t="shared" ref="DJ82:DJ113" ca="1" si="139">DH82+(DH82*DF82)</f>
        <v>8.6572720463057546</v>
      </c>
      <c r="DK82" s="18">
        <f t="shared" ref="DK82:DK113" ca="1" si="140">DH82+(DH82*DG82)</f>
        <v>8.6979996542783056</v>
      </c>
      <c r="DL82" s="9"/>
      <c r="DM82" s="9"/>
      <c r="DN82" s="9"/>
      <c r="DO82" s="9"/>
      <c r="DP82" s="79">
        <v>2.9510053809119266E-2</v>
      </c>
      <c r="DQ82" s="79">
        <v>3.7842721881809834E-3</v>
      </c>
      <c r="DR82" s="79">
        <v>7.2346380068165862E-3</v>
      </c>
      <c r="DS82" s="79">
        <f t="shared" ca="1" si="116"/>
        <v>4.6599093790105029E-3</v>
      </c>
      <c r="DT82" s="47"/>
      <c r="DU82" s="43">
        <f t="shared" si="117"/>
        <v>0.2067607312813533</v>
      </c>
      <c r="DV82" s="83">
        <f t="shared" ca="1" si="118"/>
        <v>1.728</v>
      </c>
      <c r="DW82" s="83">
        <f t="shared" ca="1" si="119"/>
        <v>1.8740000000000001</v>
      </c>
      <c r="DX82" s="83">
        <f t="shared" ca="1" si="120"/>
        <v>-0.14600000000000013</v>
      </c>
      <c r="DY82" s="67"/>
      <c r="DZ82" s="67"/>
      <c r="EA82" s="85"/>
      <c r="EB82" s="44">
        <v>179900</v>
      </c>
      <c r="EC82" s="44" cm="1">
        <f t="array" aca="1" ref="EC82" ca="1">_FV(EE82,"Volume")</f>
        <v>175800</v>
      </c>
      <c r="EE82" s="2" t="e" vm="82">
        <v>#VALUE!</v>
      </c>
      <c r="EG82" s="10" cm="1">
        <f t="array" aca="1" ref="EG82" ca="1">_FV(EE82,"Ações em circulação",TRUE)</f>
        <v>123812800</v>
      </c>
      <c r="EH82" s="21">
        <f>VLOOKUP(BH82,Fundamentus!A:U,5,FALSE)</f>
        <v>0.1</v>
      </c>
      <c r="EI82" s="2">
        <f t="shared" ca="1" si="121"/>
        <v>10759332320</v>
      </c>
      <c r="EJ82" s="20">
        <v>130467738</v>
      </c>
      <c r="EK82" s="20">
        <f t="shared" ca="1" si="122"/>
        <v>134491654</v>
      </c>
      <c r="EM82" s="40" t="str">
        <f>IF(VLOOKUP(BH82,Fundamentus!A:U,3,FALSE)&lt;15,"Bom",IF(VLOOKUP(BH82,Fundamentus!A:U,3,FALSE)&gt;15,"Ruim","n/a"))</f>
        <v>Bom</v>
      </c>
      <c r="EN82" s="36" t="str">
        <f>IF(VLOOKUP(BH82,Fundamentus!A:U,4,FALSE)&lt;1,"Baixo",IF(VLOOKUP(BH82,Fundamentus!A:U,4,FALSE)&lt;1.5,"Moderado",IF(VLOOKUP(BH82,Fundamentus!A:U,4,FALSE)&gt;1.5,"Alto","n/a")))</f>
        <v>Baixo</v>
      </c>
      <c r="EO82" s="20" t="str">
        <f>IF(VLOOKUP(BH82,Fundamentus!A:U,8,FALSE)&lt;0,"Risco elevado",IF(VLOOKUP(BH82,Fundamentus!A:U,8,FALSE)&lt;1,"Saudável",IF(VLOOKUP(BH82,Fundamentus!A:U,8,FALSE)&lt;3,"Estável",IF(VLOOKUP(BH82,Fundamentus!A:U,8,FALSE)&gt;3,"Alerta","n/a"))))</f>
        <v>Estável</v>
      </c>
      <c r="EP82" s="36" t="str">
        <f t="shared" si="123"/>
        <v>Ruim</v>
      </c>
      <c r="EQ82" s="20" t="str">
        <f>IF(VLOOKUP(BH82,Fundamentus!A:U,12,FALSE)&lt;2,"Subvalorizada",IF(VLOOKUP(BH82,Fundamentus!A:U,12,FALSE)&lt;6,"Muita barata",IF(VLOOKUP(BH82,Fundamentus!A:U,12,FALSE)&lt;6,"Barata",IF(VLOOKUP(BH82,Fundamentus!A:U,12,FALSE)&lt;8,"Atrativa",IF(VLOOKUP(BH82,Fundamentus!A:U,12,FALSE)&gt;8,"Supervalorizada","n/a")))))</f>
        <v>Muita barata</v>
      </c>
      <c r="ES82" s="20" t="str">
        <f>IF(VLOOKUP(BH82,Fundamentus!A:U,17,FALSE)&lt;0.1,"Fraco retorno",IF(VLOOKUP(BH82,Fundamentus!A:U,17,FALSE)&gt;0.1,"Bom retorno","n/a"))</f>
        <v>Fraco retorno</v>
      </c>
      <c r="ET82" s="20" t="str">
        <f>IF(VLOOKUP(BH82,Fundamentus!A:U,16,FALSE)&lt;0.1,"Ineficiente",IF(VLOOKUP(BH82,Fundamentus!A:U,16,FALSE)&gt;0.1,"Eficiente","n/a"))</f>
        <v>Ineficiente</v>
      </c>
      <c r="EU82" s="41" t="str">
        <f>IF(VLOOKUP(BH82,Fundamentus!A:U,16,FALSE)&lt;0.1,"Oper. Ineficiente",IF(VLOOKUP(BH82,Fundamentus!A:U,16,FALSE)&gt;0.1,"Oper.Eficiente","n/a"))</f>
        <v>Oper. Ineficiente</v>
      </c>
      <c r="EV82" s="42">
        <f>VLOOKUP(BH82,Fundamentus!A:U,14,FALSE)</f>
        <v>1.2500000000000001E-2</v>
      </c>
      <c r="EW82" s="20" t="str">
        <f>IF(VLOOKUP(BH82,Fundamentus!A:U,21,FALSE)&lt;0,"Negativo",IF(VLOOKUP(BH82,Fundamentus!A:U,21,FALSE)&lt;0.05,"Fraco",IF(VLOOKUP(BH82,Fundamentus!A:U,21,FALSE)&lt;0.1,"Bom",IF(VLOOKUP(BH82,Fundamentus!A:U,21,FALSE)&gt;0.1,"Muito bom","n/a"))))</f>
        <v>Muito bom</v>
      </c>
      <c r="EY82" s="37" t="str">
        <f>IF(VLOOKUP(BH82,Fundamentus!A:U,15,FALSE)&gt;1,"Bom",IF(VLOOKUP(BH82,Fundamentus!A:U,15,FALSE)&lt;1,"Ruim","n/a"))</f>
        <v>Bom</v>
      </c>
      <c r="EZ82" s="20" t="str">
        <f>IF(VLOOKUP(BH82,Fundamentus!A:U,20,FALSE)&lt;0.5,"Baixa",IF(VLOOKUP(BH82,Fundamentus!A:U,20,FALSE)&lt;1,"Moderada",IF(VLOOKUP(BH82,Fundamentus!A:U,20,FALSE)&lt;2,"Alerta",IF(VLOOKUP(BH82,Fundamentus!A:U,20,FALSE)&gt;2,"Alta","n/a"))))</f>
        <v>Moderada</v>
      </c>
      <c r="FA82" s="10"/>
    </row>
    <row r="83" spans="1:157" s="2" customFormat="1" ht="11.25" hidden="1" x14ac:dyDescent="0.2">
      <c r="A83" s="4">
        <v>31.61</v>
      </c>
      <c r="B83" s="4">
        <v>30.93</v>
      </c>
      <c r="C83" s="4">
        <v>30.74</v>
      </c>
      <c r="D83" s="4">
        <v>30.02</v>
      </c>
      <c r="E83" s="4">
        <v>29.4</v>
      </c>
      <c r="F83" s="4">
        <v>29.48</v>
      </c>
      <c r="G83" s="4">
        <v>29.78</v>
      </c>
      <c r="H83" s="4">
        <v>29.27</v>
      </c>
      <c r="I83" s="4">
        <v>31</v>
      </c>
      <c r="J83" s="4">
        <v>32.58</v>
      </c>
      <c r="K83" s="4">
        <v>34.159999999999997</v>
      </c>
      <c r="L83" s="4">
        <v>32.49</v>
      </c>
      <c r="M83" s="4">
        <v>32.67</v>
      </c>
      <c r="N83" s="4">
        <v>33.06</v>
      </c>
      <c r="O83" s="4">
        <v>34.659999999999997</v>
      </c>
      <c r="P83" s="4">
        <v>34.89</v>
      </c>
      <c r="Q83" s="4">
        <v>35.31</v>
      </c>
      <c r="R83" s="4">
        <v>34.200000000000003</v>
      </c>
      <c r="S83" s="4">
        <v>34.799999999999997</v>
      </c>
      <c r="T83" s="4">
        <v>34</v>
      </c>
      <c r="U83" s="4">
        <v>32.65</v>
      </c>
      <c r="V83" s="4">
        <v>32.44</v>
      </c>
      <c r="W83" s="4">
        <v>32.5</v>
      </c>
      <c r="X83" s="4">
        <v>31.84</v>
      </c>
      <c r="Y83" s="4">
        <v>32.03</v>
      </c>
      <c r="Z83" s="4">
        <v>31.79</v>
      </c>
      <c r="AA83" s="4">
        <v>31.41</v>
      </c>
      <c r="AB83" s="4">
        <v>31.28</v>
      </c>
      <c r="AC83" s="4">
        <v>32.67</v>
      </c>
      <c r="AD83" s="4">
        <v>32.74</v>
      </c>
      <c r="AE83" s="4">
        <v>30.78</v>
      </c>
      <c r="AF83" s="4">
        <v>29.75</v>
      </c>
      <c r="AG83" s="4">
        <v>29.43</v>
      </c>
      <c r="AH83" s="4">
        <v>27.93</v>
      </c>
      <c r="AI83" s="4">
        <v>27.64</v>
      </c>
      <c r="AJ83" s="4">
        <v>26.24</v>
      </c>
      <c r="AK83" s="4">
        <v>27.16</v>
      </c>
      <c r="AL83" s="4">
        <v>27.86</v>
      </c>
      <c r="AM83" s="4">
        <v>28.37</v>
      </c>
      <c r="AN83" s="4">
        <v>30.15</v>
      </c>
      <c r="AO83" s="4">
        <v>30.3</v>
      </c>
      <c r="AP83" s="4">
        <v>31.43</v>
      </c>
      <c r="AQ83" s="4">
        <v>31.19</v>
      </c>
      <c r="AR83" s="4">
        <v>30.06</v>
      </c>
      <c r="AS83" s="4">
        <v>30.8</v>
      </c>
      <c r="AT83" s="4">
        <v>32.22</v>
      </c>
      <c r="AU83" s="4">
        <v>33.034999999999997</v>
      </c>
      <c r="AV83" s="4">
        <v>32.270000000000003</v>
      </c>
      <c r="AW83" s="4">
        <v>33.33</v>
      </c>
      <c r="AX83" s="4">
        <v>33.6</v>
      </c>
      <c r="AY83" s="12">
        <v>34.15</v>
      </c>
      <c r="AZ83" s="12">
        <v>35.950000000000003</v>
      </c>
      <c r="BA83" s="12">
        <v>36.81</v>
      </c>
      <c r="BB83" s="18">
        <v>36.81</v>
      </c>
      <c r="BC83" s="63">
        <v>36.99</v>
      </c>
      <c r="BD83" s="63">
        <v>36.29</v>
      </c>
      <c r="BE83" s="63">
        <v>36.65</v>
      </c>
      <c r="BF83" s="63">
        <v>36.25</v>
      </c>
      <c r="BG83" s="91" cm="1">
        <f t="array" aca="1" ref="BG83" ca="1">_FV(EE83,"Preço")</f>
        <v>36.4</v>
      </c>
      <c r="BH83" s="93" t="s">
        <v>81</v>
      </c>
      <c r="BI83" s="32" cm="1">
        <f t="array" aca="1" ref="BI83" ca="1">_FV(EE83,"Beta")</f>
        <v>0.9214</v>
      </c>
      <c r="BJ83" s="96" cm="1">
        <f t="array" aca="1" ref="BJ83" ca="1">_FV(EE83,"Variação (%)",TRUE)</f>
        <v>-3.5590000000000001E-3</v>
      </c>
      <c r="BK83" s="49"/>
      <c r="BL83" s="49"/>
      <c r="BN83" s="32"/>
      <c r="BO83" s="20" cm="1">
        <f t="array" aca="1" ref="BO83" ca="1">_FV(EE83,"Baixo")</f>
        <v>35.979999999999997</v>
      </c>
      <c r="BP83" s="20" cm="1">
        <f t="array" aca="1" ref="BP83" ca="1">_FV(EE83,"Alto")</f>
        <v>36.590000000000003</v>
      </c>
      <c r="BQ83" s="32"/>
      <c r="BR83" s="74">
        <f ca="1">SQRT(22.5*(BG83/VLOOKUP(BH83,Fundamentus!A:U,3,FALSE))*(BG83/VLOOKUP(BH83,Fundamentus!A:U,4,FALSE)))</f>
        <v>34.117804034580907</v>
      </c>
      <c r="BT83" s="73">
        <f t="shared" ca="1" si="99"/>
        <v>4.1379310344827197E-3</v>
      </c>
      <c r="BU83" s="36">
        <f t="shared" si="100"/>
        <v>0.15944321417273014</v>
      </c>
      <c r="BV83" s="8"/>
      <c r="BW83" s="72">
        <f t="shared" si="101"/>
        <v>26.24</v>
      </c>
      <c r="BX83" s="72">
        <f t="shared" si="102"/>
        <v>32.066293103448274</v>
      </c>
      <c r="BY83" s="72">
        <f t="shared" si="103"/>
        <v>36.99</v>
      </c>
      <c r="BZ83" s="17"/>
      <c r="CA83" s="17"/>
      <c r="CB83" s="43">
        <f t="shared" si="104"/>
        <v>35.481286469235776</v>
      </c>
      <c r="CC83" s="18">
        <f t="shared" si="105"/>
        <v>36.082202436738726</v>
      </c>
      <c r="CD83" s="43">
        <f t="shared" si="106"/>
        <v>36.683118404241675</v>
      </c>
      <c r="CE83" s="98">
        <f t="shared" ca="1" si="107"/>
        <v>0.52885524839995712</v>
      </c>
      <c r="CF83" s="17"/>
      <c r="CG83" s="20">
        <f t="shared" si="108"/>
        <v>18.580000000000002</v>
      </c>
      <c r="CH83" s="20">
        <f t="shared" si="109"/>
        <v>22.41</v>
      </c>
      <c r="CI83" s="20">
        <f t="shared" si="110"/>
        <v>29.330000000000005</v>
      </c>
      <c r="CJ83" s="49">
        <f t="shared" si="111"/>
        <v>33.160000000000004</v>
      </c>
      <c r="CK83" s="20">
        <f t="shared" si="112"/>
        <v>40.080000000000013</v>
      </c>
      <c r="CL83" s="20">
        <f t="shared" si="113"/>
        <v>43.910000000000011</v>
      </c>
      <c r="CM83" s="20">
        <f t="shared" si="114"/>
        <v>50.830000000000013</v>
      </c>
      <c r="CN83" s="2" cm="1">
        <f t="array" aca="1" ref="CN83" ca="1">MAX(_xlfn._xlws.FILTER(CG83:CM83,CG83:CM83&lt;BG83))</f>
        <v>33.160000000000004</v>
      </c>
      <c r="CO83" s="2" cm="1">
        <f t="array" aca="1" ref="CO83" ca="1">MIN(_xlfn._xlws.FILTER($CG83:$CM83,$CG83:$CM83&gt;BG83))</f>
        <v>40.080000000000013</v>
      </c>
      <c r="CP83" s="19">
        <f t="shared" ca="1" si="124"/>
        <v>0.20868516284680361</v>
      </c>
      <c r="CQ83" s="23">
        <f t="shared" ca="1" si="125"/>
        <v>-0.1043425814234018</v>
      </c>
      <c r="CR83" s="23">
        <f t="shared" ca="1" si="126"/>
        <v>-6.9561720948934536E-2</v>
      </c>
      <c r="CS83" s="23">
        <f t="shared" ca="1" si="127"/>
        <v>-4.1737032569360719E-2</v>
      </c>
      <c r="CT83" s="23">
        <f t="shared" ca="1" si="128"/>
        <v>-2.3187240316311513E-2</v>
      </c>
      <c r="CU83" s="23">
        <f t="shared" ca="1" si="129"/>
        <v>-1.2275597814517859E-2</v>
      </c>
      <c r="CV83" s="23">
        <f t="shared" ca="1" si="130"/>
        <v>-6.3237928135395031E-3</v>
      </c>
      <c r="CW83" s="23">
        <f t="shared" ca="1" si="131"/>
        <v>-3.2105409668739017E-3</v>
      </c>
      <c r="CX83" s="24">
        <f t="shared" ca="1" si="132"/>
        <v>3.2105409668739017E-3</v>
      </c>
      <c r="CY83" s="24">
        <f t="shared" ca="1" si="133"/>
        <v>6.3237928135395031E-3</v>
      </c>
      <c r="CZ83" s="24">
        <f t="shared" ca="1" si="134"/>
        <v>1.2275597814517859E-2</v>
      </c>
      <c r="DA83" s="24">
        <f t="shared" ca="1" si="135"/>
        <v>2.3187240316311513E-2</v>
      </c>
      <c r="DB83" s="24">
        <f t="shared" ca="1" si="136"/>
        <v>4.1737032569360719E-2</v>
      </c>
      <c r="DC83" s="24">
        <f t="shared" ca="1" si="137"/>
        <v>6.9561720948934536E-2</v>
      </c>
      <c r="DD83" s="24">
        <f t="shared" ca="1" si="138"/>
        <v>0.1043425814234018</v>
      </c>
      <c r="DF83" s="19" cm="1">
        <f t="array" aca="1" ref="DF83" ca="1">MAX(_xlfn._xlws.FILTER(CQ83:DD83,CQ83:DD83&lt;BJ83))</f>
        <v>-6.3237928135395031E-3</v>
      </c>
      <c r="DG83" s="19" cm="1">
        <f t="array" aca="1" ref="DG83" ca="1">MIN(_xlfn._xlws.FILTER(CQ83:DD83,CQ83:DD83&gt;BJ83))</f>
        <v>-3.2105409668739017E-3</v>
      </c>
      <c r="DH83" s="2" cm="1">
        <f t="array" aca="1" ref="DH83" ca="1">_FV(EE83,"Fechamento anterior",TRUE)</f>
        <v>36.53</v>
      </c>
      <c r="DI83" s="36">
        <f t="shared" ca="1" si="115"/>
        <v>0.88816263139487595</v>
      </c>
      <c r="DJ83" s="18">
        <f t="shared" ca="1" si="139"/>
        <v>36.298991848521403</v>
      </c>
      <c r="DK83" s="18">
        <f t="shared" ca="1" si="140"/>
        <v>36.412718938480097</v>
      </c>
      <c r="DL83" s="9"/>
      <c r="DM83" s="9"/>
      <c r="DN83" s="9"/>
      <c r="DO83" s="9"/>
      <c r="DP83" s="79">
        <v>4.1459593603450492E-3</v>
      </c>
      <c r="DQ83" s="79">
        <v>8.8873451812891656E-3</v>
      </c>
      <c r="DR83" s="79">
        <v>8.8873451812891656E-3</v>
      </c>
      <c r="DS83" s="79">
        <f t="shared" ca="1" si="116"/>
        <v>3.1132518466656014E-3</v>
      </c>
      <c r="DT83" s="47"/>
      <c r="DU83" s="43">
        <f t="shared" si="117"/>
        <v>0.30045798375147309</v>
      </c>
      <c r="DV83" s="83">
        <f t="shared" ca="1" si="118"/>
        <v>1.3474999999999999</v>
      </c>
      <c r="DW83" s="83">
        <f t="shared" ca="1" si="119"/>
        <v>1.2772999999999999</v>
      </c>
      <c r="DX83" s="83">
        <f t="shared" ca="1" si="120"/>
        <v>7.020000000000004E-2</v>
      </c>
      <c r="DY83" s="67"/>
      <c r="DZ83" s="67"/>
      <c r="EA83" s="85"/>
      <c r="EB83" s="44">
        <v>6357700</v>
      </c>
      <c r="EC83" s="44" cm="1">
        <f t="array" aca="1" ref="EC83" ca="1">_FV(EE83,"Volume")</f>
        <v>10091100</v>
      </c>
      <c r="EE83" s="2" t="e" vm="83">
        <v>#VALUE!</v>
      </c>
      <c r="EG83" s="10" cm="1">
        <f t="array" aca="1" ref="EG83" ca="1">_FV(EE83,"Ações em circulação",TRUE)</f>
        <v>1254548000</v>
      </c>
      <c r="EH83" s="21">
        <f>VLOOKUP(BH83,Fundamentus!A:U,5,FALSE)</f>
        <v>0.97499999999999998</v>
      </c>
      <c r="EI83" s="2">
        <f t="shared" ca="1" si="121"/>
        <v>46836458666.666664</v>
      </c>
      <c r="EJ83" s="20">
        <v>3850599357.9487185</v>
      </c>
      <c r="EK83" s="20">
        <f t="shared" ca="1" si="122"/>
        <v>3868691485.8666668</v>
      </c>
      <c r="EM83" s="40" t="str">
        <f>IF(VLOOKUP(BH83,Fundamentus!A:U,3,FALSE)&lt;15,"Bom",IF(VLOOKUP(BH83,Fundamentus!A:U,3,FALSE)&gt;15,"Ruim","n/a"))</f>
        <v>Bom</v>
      </c>
      <c r="EN83" s="36" t="str">
        <f>IF(VLOOKUP(BH83,Fundamentus!A:U,4,FALSE)&lt;1,"Baixo",IF(VLOOKUP(BH83,Fundamentus!A:U,4,FALSE)&lt;1.5,"Moderado",IF(VLOOKUP(BH83,Fundamentus!A:U,4,FALSE)&gt;1.5,"Alto","n/a")))</f>
        <v>Alto</v>
      </c>
      <c r="EO83" s="20" t="str">
        <f>IF(VLOOKUP(BH83,Fundamentus!A:U,8,FALSE)&lt;0,"Risco elevado",IF(VLOOKUP(BH83,Fundamentus!A:U,8,FALSE)&lt;1,"Saudável",IF(VLOOKUP(BH83,Fundamentus!A:U,8,FALSE)&lt;3,"Estável",IF(VLOOKUP(BH83,Fundamentus!A:U,8,FALSE)&gt;3,"Alerta","n/a"))))</f>
        <v>Alerta</v>
      </c>
      <c r="EP83" s="36" t="str">
        <f t="shared" si="123"/>
        <v>Ruim</v>
      </c>
      <c r="EQ83" s="20" t="str">
        <f>IF(VLOOKUP(BH83,Fundamentus!A:U,12,FALSE)&lt;2,"Subvalorizada",IF(VLOOKUP(BH83,Fundamentus!A:U,12,FALSE)&lt;6,"Muita barata",IF(VLOOKUP(BH83,Fundamentus!A:U,12,FALSE)&lt;6,"Barata",IF(VLOOKUP(BH83,Fundamentus!A:U,12,FALSE)&lt;8,"Atrativa",IF(VLOOKUP(BH83,Fundamentus!A:U,12,FALSE)&gt;8,"Supervalorizada","n/a")))))</f>
        <v>Atrativa</v>
      </c>
      <c r="ES83" s="20" t="str">
        <f>IF(VLOOKUP(BH83,Fundamentus!A:U,17,FALSE)&lt;0.1,"Fraco retorno",IF(VLOOKUP(BH83,Fundamentus!A:U,17,FALSE)&gt;0.1,"Bom retorno","n/a"))</f>
        <v>Bom retorno</v>
      </c>
      <c r="ET83" s="20" t="str">
        <f>IF(VLOOKUP(BH83,Fundamentus!A:U,16,FALSE)&lt;0.1,"Ineficiente",IF(VLOOKUP(BH83,Fundamentus!A:U,16,FALSE)&gt;0.1,"Eficiente","n/a"))</f>
        <v>Ineficiente</v>
      </c>
      <c r="EU83" s="41" t="str">
        <f>IF(VLOOKUP(BH83,Fundamentus!A:U,16,FALSE)&lt;0.1,"Oper. Ineficiente",IF(VLOOKUP(BH83,Fundamentus!A:U,16,FALSE)&gt;0.1,"Oper.Eficiente","n/a"))</f>
        <v>Oper. Ineficiente</v>
      </c>
      <c r="EV83" s="42">
        <f>VLOOKUP(BH83,Fundamentus!A:U,14,FALSE)</f>
        <v>8.2600000000000007E-2</v>
      </c>
      <c r="EW83" s="20" t="str">
        <f>IF(VLOOKUP(BH83,Fundamentus!A:U,21,FALSE)&lt;0,"Negativo",IF(VLOOKUP(BH83,Fundamentus!A:U,21,FALSE)&lt;0.05,"Fraco",IF(VLOOKUP(BH83,Fundamentus!A:U,21,FALSE)&lt;0.1,"Bom",IF(VLOOKUP(BH83,Fundamentus!A:U,21,FALSE)&gt;0.1,"Muito bom","n/a"))))</f>
        <v>Muito bom</v>
      </c>
      <c r="EY83" s="37" t="str">
        <f>IF(VLOOKUP(BH83,Fundamentus!A:U,15,FALSE)&gt;1,"Bom",IF(VLOOKUP(BH83,Fundamentus!A:U,15,FALSE)&lt;1,"Ruim","n/a"))</f>
        <v>Bom</v>
      </c>
      <c r="EZ83" s="20" t="str">
        <f>IF(VLOOKUP(BH83,Fundamentus!A:U,20,FALSE)&lt;0.5,"Baixa",IF(VLOOKUP(BH83,Fundamentus!A:U,20,FALSE)&lt;1,"Moderada",IF(VLOOKUP(BH83,Fundamentus!A:U,20,FALSE)&lt;2,"Alerta",IF(VLOOKUP(BH83,Fundamentus!A:U,20,FALSE)&gt;2,"Alta","n/a"))))</f>
        <v>Alta</v>
      </c>
      <c r="FA83" s="10"/>
    </row>
    <row r="84" spans="1:157" s="2" customFormat="1" ht="11.25" hidden="1" x14ac:dyDescent="0.2">
      <c r="A84" s="4">
        <v>19.760000000000002</v>
      </c>
      <c r="B84" s="4">
        <v>19.3</v>
      </c>
      <c r="C84" s="4">
        <v>19.91</v>
      </c>
      <c r="D84" s="4">
        <v>19.5</v>
      </c>
      <c r="E84" s="4">
        <v>18.89</v>
      </c>
      <c r="F84" s="4">
        <v>18.66</v>
      </c>
      <c r="G84" s="4">
        <v>18.25</v>
      </c>
      <c r="H84" s="4">
        <v>18.16</v>
      </c>
      <c r="I84" s="4">
        <v>18.670000000000002</v>
      </c>
      <c r="J84" s="4">
        <v>18.45</v>
      </c>
      <c r="K84" s="4">
        <v>19.2</v>
      </c>
      <c r="L84" s="4">
        <v>18.45</v>
      </c>
      <c r="M84" s="4">
        <v>18.170000000000002</v>
      </c>
      <c r="N84" s="4">
        <v>18.38</v>
      </c>
      <c r="O84" s="4">
        <v>18.7</v>
      </c>
      <c r="P84" s="4">
        <v>19.22</v>
      </c>
      <c r="Q84" s="4">
        <v>20.11</v>
      </c>
      <c r="R84" s="4">
        <v>19.899999999999999</v>
      </c>
      <c r="S84" s="4">
        <v>20.43</v>
      </c>
      <c r="T84" s="4">
        <v>19.66</v>
      </c>
      <c r="U84" s="4">
        <v>19.77</v>
      </c>
      <c r="V84" s="4">
        <v>19.920000000000002</v>
      </c>
      <c r="W84" s="4">
        <v>18.84</v>
      </c>
      <c r="X84" s="4">
        <v>18.899999999999999</v>
      </c>
      <c r="Y84" s="4">
        <v>19.21</v>
      </c>
      <c r="Z84" s="4">
        <v>19.05</v>
      </c>
      <c r="AA84" s="4">
        <v>19.100000000000001</v>
      </c>
      <c r="AB84" s="4">
        <v>19.47</v>
      </c>
      <c r="AC84" s="4">
        <v>19.100000000000001</v>
      </c>
      <c r="AD84" s="4">
        <v>19.95</v>
      </c>
      <c r="AE84" s="4">
        <v>19.399999999999999</v>
      </c>
      <c r="AF84" s="4">
        <v>19.78</v>
      </c>
      <c r="AG84" s="4">
        <v>20.3</v>
      </c>
      <c r="AH84" s="4">
        <v>19.12</v>
      </c>
      <c r="AI84" s="4">
        <v>19.02</v>
      </c>
      <c r="AJ84" s="4">
        <v>18.899999999999999</v>
      </c>
      <c r="AK84" s="4">
        <v>18.23</v>
      </c>
      <c r="AL84" s="4">
        <v>18.32</v>
      </c>
      <c r="AM84" s="4">
        <v>18.100000000000001</v>
      </c>
      <c r="AN84" s="4">
        <v>18.75</v>
      </c>
      <c r="AO84" s="4">
        <v>18.2</v>
      </c>
      <c r="AP84" s="4">
        <v>19.63</v>
      </c>
      <c r="AQ84" s="4">
        <v>19.77</v>
      </c>
      <c r="AR84" s="4">
        <v>19.45</v>
      </c>
      <c r="AS84" s="4">
        <v>19.87</v>
      </c>
      <c r="AT84" s="4">
        <v>20.64</v>
      </c>
      <c r="AU84" s="4">
        <v>21.03</v>
      </c>
      <c r="AV84" s="4">
        <v>20.89</v>
      </c>
      <c r="AW84" s="4">
        <v>20.49</v>
      </c>
      <c r="AX84" s="4">
        <v>20.47</v>
      </c>
      <c r="AY84" s="12">
        <v>20.94</v>
      </c>
      <c r="AZ84" s="12">
        <v>22.13</v>
      </c>
      <c r="BA84" s="12">
        <v>22.9</v>
      </c>
      <c r="BB84" s="18">
        <v>22.72</v>
      </c>
      <c r="BC84" s="63">
        <v>23.53</v>
      </c>
      <c r="BD84" s="63">
        <v>24.4</v>
      </c>
      <c r="BE84" s="63">
        <v>25.05</v>
      </c>
      <c r="BF84" s="63">
        <v>24.51</v>
      </c>
      <c r="BG84" s="91" cm="1">
        <f t="array" aca="1" ref="BG84" ca="1">_FV(EE84,"Preço")</f>
        <v>24.45</v>
      </c>
      <c r="BH84" s="93" t="s">
        <v>82</v>
      </c>
      <c r="BI84" s="32" cm="1">
        <f t="array" aca="1" ref="BI84" ca="1">_FV(EE84,"Beta")</f>
        <v>0.7712</v>
      </c>
      <c r="BJ84" s="96" cm="1">
        <f t="array" aca="1" ref="BJ84" ca="1">_FV(EE84,"Variação (%)",TRUE)</f>
        <v>4.0919999999999997E-4</v>
      </c>
      <c r="BK84" s="49"/>
      <c r="BL84" s="49"/>
      <c r="BN84" s="32"/>
      <c r="BO84" s="20" cm="1">
        <f t="array" aca="1" ref="BO84" ca="1">_FV(EE84,"Baixo")</f>
        <v>24.07</v>
      </c>
      <c r="BP84" s="20" cm="1">
        <f t="array" aca="1" ref="BP84" ca="1">_FV(EE84,"Alto")</f>
        <v>24.53</v>
      </c>
      <c r="BQ84" s="32"/>
      <c r="BR84" s="74">
        <f ca="1">SQRT(22.5*(BG84/VLOOKUP(BH84,Fundamentus!A:U,3,FALSE))*(BG84/VLOOKUP(BH84,Fundamentus!A:U,4,FALSE)))</f>
        <v>42.480251695397534</v>
      </c>
      <c r="BT84" s="73">
        <f t="shared" ca="1" si="99"/>
        <v>-2.4479804161567633E-3</v>
      </c>
      <c r="BU84" s="36">
        <f t="shared" si="100"/>
        <v>0.26771255060728738</v>
      </c>
      <c r="BV84" s="8"/>
      <c r="BW84" s="72">
        <f t="shared" si="101"/>
        <v>18.100000000000001</v>
      </c>
      <c r="BX84" s="72">
        <f t="shared" si="102"/>
        <v>19.855517241379314</v>
      </c>
      <c r="BY84" s="72">
        <f t="shared" si="103"/>
        <v>25.05</v>
      </c>
      <c r="BZ84" s="17"/>
      <c r="CA84" s="17"/>
      <c r="CB84" s="43">
        <f t="shared" si="104"/>
        <v>24.174485914622952</v>
      </c>
      <c r="CC84" s="18">
        <f t="shared" si="105"/>
        <v>25.264657919400179</v>
      </c>
      <c r="CD84" s="43">
        <f t="shared" si="106"/>
        <v>26.354829924177405</v>
      </c>
      <c r="CE84" s="98">
        <f t="shared" ca="1" si="107"/>
        <v>-0.74727466475957849</v>
      </c>
      <c r="CF84" s="17"/>
      <c r="CG84" s="20">
        <f t="shared" si="108"/>
        <v>13.106666666666676</v>
      </c>
      <c r="CH84" s="20">
        <f t="shared" si="109"/>
        <v>15.603333333333339</v>
      </c>
      <c r="CI84" s="20">
        <f t="shared" si="110"/>
        <v>20.056666666666676</v>
      </c>
      <c r="CJ84" s="49">
        <f t="shared" si="111"/>
        <v>22.553333333333338</v>
      </c>
      <c r="CK84" s="20">
        <f t="shared" si="112"/>
        <v>27.006666666666675</v>
      </c>
      <c r="CL84" s="20">
        <f t="shared" si="113"/>
        <v>29.503333333333337</v>
      </c>
      <c r="CM84" s="20">
        <f t="shared" si="114"/>
        <v>33.956666666666678</v>
      </c>
      <c r="CN84" s="2" cm="1">
        <f t="array" aca="1" ref="CN84" ca="1">MAX(_xlfn._xlws.FILTER(CG84:CM84,CG84:CM84&lt;BG84))</f>
        <v>22.553333333333338</v>
      </c>
      <c r="CO84" s="2" cm="1">
        <f t="array" aca="1" ref="CO84" ca="1">MIN(_xlfn._xlws.FILTER($CG84:$CM84,$CG84:$CM84&gt;BG84))</f>
        <v>27.006666666666675</v>
      </c>
      <c r="CP84" s="19">
        <f t="shared" ca="1" si="124"/>
        <v>0.19745787762341127</v>
      </c>
      <c r="CQ84" s="23">
        <f t="shared" ca="1" si="125"/>
        <v>-9.8728938811705635E-2</v>
      </c>
      <c r="CR84" s="23">
        <f t="shared" ca="1" si="126"/>
        <v>-6.5819292541137095E-2</v>
      </c>
      <c r="CS84" s="23">
        <f t="shared" ca="1" si="127"/>
        <v>-3.9491575524682257E-2</v>
      </c>
      <c r="CT84" s="23">
        <f t="shared" ca="1" si="128"/>
        <v>-2.1939764180379032E-2</v>
      </c>
      <c r="CU84" s="23">
        <f t="shared" ca="1" si="129"/>
        <v>-1.1615169271965368E-2</v>
      </c>
      <c r="CV84" s="23">
        <f t="shared" ca="1" si="130"/>
        <v>-5.983572049194281E-3</v>
      </c>
      <c r="CW84" s="23">
        <f t="shared" ca="1" si="131"/>
        <v>-3.037813501898635E-3</v>
      </c>
      <c r="CX84" s="24">
        <f t="shared" ca="1" si="132"/>
        <v>3.037813501898635E-3</v>
      </c>
      <c r="CY84" s="24">
        <f t="shared" ca="1" si="133"/>
        <v>5.983572049194281E-3</v>
      </c>
      <c r="CZ84" s="24">
        <f t="shared" ca="1" si="134"/>
        <v>1.1615169271965368E-2</v>
      </c>
      <c r="DA84" s="24">
        <f t="shared" ca="1" si="135"/>
        <v>2.1939764180379032E-2</v>
      </c>
      <c r="DB84" s="24">
        <f t="shared" ca="1" si="136"/>
        <v>3.9491575524682257E-2</v>
      </c>
      <c r="DC84" s="24">
        <f t="shared" ca="1" si="137"/>
        <v>6.5819292541137095E-2</v>
      </c>
      <c r="DD84" s="24">
        <f t="shared" ca="1" si="138"/>
        <v>9.8728938811705635E-2</v>
      </c>
      <c r="DF84" s="19" cm="1">
        <f t="array" aca="1" ref="DF84" ca="1">MAX(_xlfn._xlws.FILTER(CQ84:DD84,CQ84:DD84&lt;BJ84))</f>
        <v>-3.037813501898635E-3</v>
      </c>
      <c r="DG84" s="19" cm="1">
        <f t="array" aca="1" ref="DG84" ca="1">MIN(_xlfn._xlws.FILTER(CQ84:DD84,CQ84:DD84&gt;BJ84))</f>
        <v>3.037813501898635E-3</v>
      </c>
      <c r="DH84" s="2" cm="1">
        <f t="array" aca="1" ref="DH84" ca="1">_FV(EE84,"Fechamento anterior",TRUE)</f>
        <v>24.44</v>
      </c>
      <c r="DI84" s="36">
        <f t="shared" ca="1" si="115"/>
        <v>0.56734536246654232</v>
      </c>
      <c r="DJ84" s="18">
        <f t="shared" ca="1" si="139"/>
        <v>24.365755838013598</v>
      </c>
      <c r="DK84" s="18">
        <f t="shared" ca="1" si="140"/>
        <v>24.514244161986404</v>
      </c>
      <c r="DL84" s="9"/>
      <c r="DM84" s="9"/>
      <c r="DN84" s="9"/>
      <c r="DO84" s="9"/>
      <c r="DP84" s="79">
        <v>1.7912772585669767E-2</v>
      </c>
      <c r="DQ84" s="79">
        <v>2.5531515464401362E-3</v>
      </c>
      <c r="DR84" s="79">
        <v>5.2658750645327799E-3</v>
      </c>
      <c r="DS84" s="79">
        <f t="shared" ca="1" si="116"/>
        <v>6.0756270037972699E-3</v>
      </c>
      <c r="DT84" s="47"/>
      <c r="DU84" s="43">
        <f t="shared" si="117"/>
        <v>0.54508600238861382</v>
      </c>
      <c r="DV84" s="83">
        <f t="shared" ca="1" si="118"/>
        <v>1.1973</v>
      </c>
      <c r="DW84" s="83">
        <f t="shared" ca="1" si="119"/>
        <v>0.73028000000000004</v>
      </c>
      <c r="DX84" s="83">
        <f t="shared" ca="1" si="120"/>
        <v>0.46701999999999999</v>
      </c>
      <c r="DY84" s="67"/>
      <c r="DZ84" s="67"/>
      <c r="EA84" s="85"/>
      <c r="EB84" s="44">
        <v>403300</v>
      </c>
      <c r="EC84" s="44" cm="1">
        <f t="array" aca="1" ref="EC84" ca="1">_FV(EE84,"Volume")</f>
        <v>341800</v>
      </c>
      <c r="EE84" s="2" t="e" vm="84">
        <v>#VALUE!</v>
      </c>
      <c r="EG84" s="10" cm="1">
        <f t="array" aca="1" ref="EG84" ca="1">_FV(EE84,"Ações em circulação",TRUE)</f>
        <v>1213797000</v>
      </c>
      <c r="EH84" s="21">
        <f>VLOOKUP(BH84,Fundamentus!A:U,5,FALSE)</f>
        <v>0.59899999999999998</v>
      </c>
      <c r="EI84" s="2">
        <f t="shared" ca="1" si="121"/>
        <v>49544802420.701172</v>
      </c>
      <c r="EJ84" s="20">
        <v>3541213233.2404008</v>
      </c>
      <c r="EK84" s="20">
        <f t="shared" ca="1" si="122"/>
        <v>3532544412.5959935</v>
      </c>
      <c r="EM84" s="40" t="str">
        <f>IF(VLOOKUP(BH84,Fundamentus!A:U,3,FALSE)&lt;15,"Bom",IF(VLOOKUP(BH84,Fundamentus!A:U,3,FALSE)&gt;15,"Ruim","n/a"))</f>
        <v>Bom</v>
      </c>
      <c r="EN84" s="36" t="str">
        <f>IF(VLOOKUP(BH84,Fundamentus!A:U,4,FALSE)&lt;1,"Baixo",IF(VLOOKUP(BH84,Fundamentus!A:U,4,FALSE)&lt;1.5,"Moderado",IF(VLOOKUP(BH84,Fundamentus!A:U,4,FALSE)&gt;1.5,"Alto","n/a")))</f>
        <v>Baixo</v>
      </c>
      <c r="EO84" s="20" t="str">
        <f>IF(VLOOKUP(BH84,Fundamentus!A:U,8,FALSE)&lt;0,"Risco elevado",IF(VLOOKUP(BH84,Fundamentus!A:U,8,FALSE)&lt;1,"Saudável",IF(VLOOKUP(BH84,Fundamentus!A:U,8,FALSE)&lt;3,"Estável",IF(VLOOKUP(BH84,Fundamentus!A:U,8,FALSE)&gt;3,"Alerta","n/a"))))</f>
        <v>Alerta</v>
      </c>
      <c r="EP84" s="36" t="str">
        <f t="shared" si="123"/>
        <v>Ruim</v>
      </c>
      <c r="EQ84" s="20" t="str">
        <f>IF(VLOOKUP(BH84,Fundamentus!A:U,12,FALSE)&lt;2,"Subvalorizada",IF(VLOOKUP(BH84,Fundamentus!A:U,12,FALSE)&lt;6,"Muita barata",IF(VLOOKUP(BH84,Fundamentus!A:U,12,FALSE)&lt;6,"Barata",IF(VLOOKUP(BH84,Fundamentus!A:U,12,FALSE)&lt;8,"Atrativa",IF(VLOOKUP(BH84,Fundamentus!A:U,12,FALSE)&gt;8,"Supervalorizada","n/a")))))</f>
        <v>Muita barata</v>
      </c>
      <c r="ES84" s="20" t="str">
        <f>IF(VLOOKUP(BH84,Fundamentus!A:U,17,FALSE)&lt;0.1,"Fraco retorno",IF(VLOOKUP(BH84,Fundamentus!A:U,17,FALSE)&gt;0.1,"Bom retorno","n/a"))</f>
        <v>Bom retorno</v>
      </c>
      <c r="ET84" s="20" t="str">
        <f>IF(VLOOKUP(BH84,Fundamentus!A:U,16,FALSE)&lt;0.1,"Ineficiente",IF(VLOOKUP(BH84,Fundamentus!A:U,16,FALSE)&gt;0.1,"Eficiente","n/a"))</f>
        <v>Eficiente</v>
      </c>
      <c r="EU84" s="41" t="str">
        <f>IF(VLOOKUP(BH84,Fundamentus!A:U,16,FALSE)&lt;0.1,"Oper. Ineficiente",IF(VLOOKUP(BH84,Fundamentus!A:U,16,FALSE)&gt;0.1,"Oper.Eficiente","n/a"))</f>
        <v>Oper.Eficiente</v>
      </c>
      <c r="EV84" s="42">
        <f>VLOOKUP(BH84,Fundamentus!A:U,14,FALSE)</f>
        <v>7.1300000000000002E-2</v>
      </c>
      <c r="EW84" s="20" t="str">
        <f>IF(VLOOKUP(BH84,Fundamentus!A:U,21,FALSE)&lt;0,"Negativo",IF(VLOOKUP(BH84,Fundamentus!A:U,21,FALSE)&lt;0.05,"Fraco",IF(VLOOKUP(BH84,Fundamentus!A:U,21,FALSE)&lt;0.1,"Bom",IF(VLOOKUP(BH84,Fundamentus!A:U,21,FALSE)&gt;0.1,"Muito bom","n/a"))))</f>
        <v>Bom</v>
      </c>
      <c r="EY84" s="37" t="str">
        <f>IF(VLOOKUP(BH84,Fundamentus!A:U,15,FALSE)&gt;1,"Bom",IF(VLOOKUP(BH84,Fundamentus!A:U,15,FALSE)&lt;1,"Ruim","n/a"))</f>
        <v>Bom</v>
      </c>
      <c r="EZ84" s="20" t="str">
        <f>IF(VLOOKUP(BH84,Fundamentus!A:U,20,FALSE)&lt;0.5,"Baixa",IF(VLOOKUP(BH84,Fundamentus!A:U,20,FALSE)&lt;1,"Moderada",IF(VLOOKUP(BH84,Fundamentus!A:U,20,FALSE)&lt;2,"Alerta",IF(VLOOKUP(BH84,Fundamentus!A:U,20,FALSE)&gt;2,"Alta","n/a"))))</f>
        <v>Alerta</v>
      </c>
      <c r="FA84" s="10"/>
    </row>
    <row r="85" spans="1:157" s="2" customFormat="1" ht="11.25" hidden="1" x14ac:dyDescent="0.2">
      <c r="A85" s="4">
        <v>10.01</v>
      </c>
      <c r="B85" s="4">
        <v>9.6300000000000008</v>
      </c>
      <c r="C85" s="4">
        <v>9.99</v>
      </c>
      <c r="D85" s="4">
        <v>9.16</v>
      </c>
      <c r="E85" s="4">
        <v>9</v>
      </c>
      <c r="F85" s="4">
        <v>8.9700000000000006</v>
      </c>
      <c r="G85" s="4">
        <v>8.75</v>
      </c>
      <c r="H85" s="4">
        <v>8.5500000000000007</v>
      </c>
      <c r="I85" s="4">
        <v>7.85</v>
      </c>
      <c r="J85" s="4">
        <v>8.57</v>
      </c>
      <c r="K85" s="4">
        <v>8.24</v>
      </c>
      <c r="L85" s="4">
        <v>7.4</v>
      </c>
      <c r="M85" s="4">
        <v>7</v>
      </c>
      <c r="N85" s="4">
        <v>7.1</v>
      </c>
      <c r="O85" s="4">
        <v>7.08</v>
      </c>
      <c r="P85" s="4">
        <v>6.75</v>
      </c>
      <c r="Q85" s="4">
        <v>6.83</v>
      </c>
      <c r="R85" s="4">
        <v>6.53</v>
      </c>
      <c r="S85" s="4">
        <v>6.3</v>
      </c>
      <c r="T85" s="4">
        <v>6.14</v>
      </c>
      <c r="U85" s="4">
        <v>5.65</v>
      </c>
      <c r="V85" s="4">
        <v>5.88</v>
      </c>
      <c r="W85" s="4">
        <v>5.93</v>
      </c>
      <c r="X85" s="4">
        <v>5.91</v>
      </c>
      <c r="Y85" s="4">
        <v>6.08</v>
      </c>
      <c r="Z85" s="4">
        <v>6.46</v>
      </c>
      <c r="AA85" s="4">
        <v>6.06</v>
      </c>
      <c r="AB85" s="4">
        <v>5.9</v>
      </c>
      <c r="AC85" s="4">
        <v>5.63</v>
      </c>
      <c r="AD85" s="4">
        <v>5.89</v>
      </c>
      <c r="AE85" s="4">
        <v>5.22</v>
      </c>
      <c r="AF85" s="4">
        <v>5.09</v>
      </c>
      <c r="AG85" s="4">
        <v>5.0999999999999996</v>
      </c>
      <c r="AH85" s="4">
        <v>5</v>
      </c>
      <c r="AI85" s="4">
        <v>5.07</v>
      </c>
      <c r="AJ85" s="4">
        <v>5.08</v>
      </c>
      <c r="AK85" s="4">
        <v>5.0199999999999996</v>
      </c>
      <c r="AL85" s="4">
        <v>5.48</v>
      </c>
      <c r="AM85" s="4">
        <v>5.45</v>
      </c>
      <c r="AN85" s="4">
        <v>5.71</v>
      </c>
      <c r="AO85" s="4">
        <v>5.43</v>
      </c>
      <c r="AP85" s="4">
        <v>5.78</v>
      </c>
      <c r="AQ85" s="4">
        <v>5.35</v>
      </c>
      <c r="AR85" s="4">
        <v>5</v>
      </c>
      <c r="AS85" s="4">
        <v>5.28</v>
      </c>
      <c r="AT85" s="4">
        <v>5.38</v>
      </c>
      <c r="AU85" s="4">
        <v>5.3949999999999996</v>
      </c>
      <c r="AV85" s="4">
        <v>5.22</v>
      </c>
      <c r="AW85" s="4">
        <v>4.96</v>
      </c>
      <c r="AX85" s="4">
        <v>4.97</v>
      </c>
      <c r="AY85" s="12">
        <v>5.42</v>
      </c>
      <c r="AZ85" s="12">
        <v>5.94</v>
      </c>
      <c r="BA85" s="12">
        <v>6.15</v>
      </c>
      <c r="BB85" s="18">
        <v>5.61</v>
      </c>
      <c r="BC85" s="63">
        <v>5.12</v>
      </c>
      <c r="BD85" s="63">
        <v>4.93</v>
      </c>
      <c r="BE85" s="63">
        <v>4.72</v>
      </c>
      <c r="BF85" s="63">
        <v>4.42</v>
      </c>
      <c r="BG85" s="91" cm="1">
        <f t="array" aca="1" ref="BG85" ca="1">_FV(EE85,"Preço")</f>
        <v>4.46</v>
      </c>
      <c r="BH85" s="93" t="s">
        <v>83</v>
      </c>
      <c r="BI85" s="32" cm="1">
        <f t="array" aca="1" ref="BI85" ca="1">_FV(EE85,"Beta")</f>
        <v>1.8138000000000001</v>
      </c>
      <c r="BJ85" s="96" cm="1">
        <f t="array" aca="1" ref="BJ85" ca="1">_FV(EE85,"Variação (%)",TRUE)</f>
        <v>0</v>
      </c>
      <c r="BK85" s="49"/>
      <c r="BL85" s="49"/>
      <c r="BN85" s="32"/>
      <c r="BO85" s="20" cm="1">
        <f t="array" aca="1" ref="BO85" ca="1">_FV(EE85,"Baixo")</f>
        <v>4.33</v>
      </c>
      <c r="BP85" s="20" cm="1">
        <f t="array" aca="1" ref="BP85" ca="1">_FV(EE85,"Alto")</f>
        <v>4.46</v>
      </c>
      <c r="BQ85" s="32"/>
      <c r="BR85" s="74">
        <f ca="1">SQRT(22.5*(BG85/VLOOKUP(BH85,Fundamentus!A:U,3,FALSE))*(BG85/VLOOKUP(BH85,Fundamentus!A:U,4,FALSE)))</f>
        <v>2.2469408858409015</v>
      </c>
      <c r="BT85" s="73">
        <f t="shared" ca="1" si="99"/>
        <v>9.0497737556561163E-3</v>
      </c>
      <c r="BU85" s="36">
        <f t="shared" si="100"/>
        <v>-0.52847152847152845</v>
      </c>
      <c r="BV85" s="8"/>
      <c r="BW85" s="72">
        <f t="shared" si="101"/>
        <v>4.42</v>
      </c>
      <c r="BX85" s="72">
        <f t="shared" si="102"/>
        <v>6.3195689655172416</v>
      </c>
      <c r="BY85" s="72">
        <f t="shared" si="103"/>
        <v>10.01</v>
      </c>
      <c r="BZ85" s="17"/>
      <c r="CA85" s="17"/>
      <c r="CB85" s="43">
        <f t="shared" si="104"/>
        <v>3.7183632031411968</v>
      </c>
      <c r="CC85" s="18">
        <f t="shared" si="105"/>
        <v>4.2380506091844836</v>
      </c>
      <c r="CD85" s="43">
        <f t="shared" si="106"/>
        <v>4.7577380152277708</v>
      </c>
      <c r="CE85" s="98">
        <f t="shared" ca="1" si="107"/>
        <v>0.42708248888569239</v>
      </c>
      <c r="CF85" s="17"/>
      <c r="CG85" s="20">
        <f t="shared" si="108"/>
        <v>-3.0333333333333314</v>
      </c>
      <c r="CH85" s="20">
        <f t="shared" si="109"/>
        <v>0.69333333333333425</v>
      </c>
      <c r="CI85" s="20">
        <f t="shared" si="110"/>
        <v>2.5566666666666684</v>
      </c>
      <c r="CJ85" s="49">
        <f t="shared" si="111"/>
        <v>6.2833333333333341</v>
      </c>
      <c r="CK85" s="20">
        <f t="shared" si="112"/>
        <v>8.1466666666666683</v>
      </c>
      <c r="CL85" s="20">
        <f t="shared" si="113"/>
        <v>11.873333333333335</v>
      </c>
      <c r="CM85" s="20">
        <f t="shared" si="114"/>
        <v>13.736666666666668</v>
      </c>
      <c r="CN85" s="2" cm="1">
        <f t="array" aca="1" ref="CN85" ca="1">MAX(_xlfn._xlws.FILTER(CG85:CM85,CG85:CM85&lt;BG85))</f>
        <v>2.5566666666666684</v>
      </c>
      <c r="CO85" s="2" cm="1">
        <f t="array" aca="1" ref="CO85" ca="1">MIN(_xlfn._xlws.FILTER($CG85:$CM85,$CG85:$CM85&gt;BG85))</f>
        <v>6.2833333333333341</v>
      </c>
      <c r="CP85" s="19">
        <f t="shared" ca="1" si="124"/>
        <v>1.4576271186440666</v>
      </c>
      <c r="CQ85" s="23">
        <f t="shared" ca="1" si="125"/>
        <v>-0.72881355932203329</v>
      </c>
      <c r="CR85" s="23">
        <f t="shared" ca="1" si="126"/>
        <v>-0.48587570621468884</v>
      </c>
      <c r="CS85" s="23">
        <f t="shared" ca="1" si="127"/>
        <v>-0.29152542372881329</v>
      </c>
      <c r="CT85" s="23">
        <f t="shared" ca="1" si="128"/>
        <v>-0.16195856873822961</v>
      </c>
      <c r="CU85" s="23">
        <f t="shared" ca="1" si="129"/>
        <v>-8.5742771684945096E-2</v>
      </c>
      <c r="CV85" s="23">
        <f t="shared" ca="1" si="130"/>
        <v>-4.41705187467899E-2</v>
      </c>
      <c r="CW85" s="23">
        <f t="shared" ca="1" si="131"/>
        <v>-2.2425032594524101E-2</v>
      </c>
      <c r="CX85" s="24">
        <f t="shared" ca="1" si="132"/>
        <v>2.2425032594524101E-2</v>
      </c>
      <c r="CY85" s="24">
        <f t="shared" ca="1" si="133"/>
        <v>4.41705187467899E-2</v>
      </c>
      <c r="CZ85" s="24">
        <f t="shared" ca="1" si="134"/>
        <v>8.5742771684945096E-2</v>
      </c>
      <c r="DA85" s="24">
        <f t="shared" ca="1" si="135"/>
        <v>0.16195856873822961</v>
      </c>
      <c r="DB85" s="24">
        <f t="shared" ca="1" si="136"/>
        <v>0.29152542372881329</v>
      </c>
      <c r="DC85" s="24">
        <f t="shared" ca="1" si="137"/>
        <v>0.48587570621468884</v>
      </c>
      <c r="DD85" s="24">
        <f t="shared" ca="1" si="138"/>
        <v>0.72881355932203329</v>
      </c>
      <c r="DF85" s="19" cm="1">
        <f t="array" aca="1" ref="DF85" ca="1">MAX(_xlfn._xlws.FILTER(CQ85:DD85,CQ85:DD85&lt;BJ85))</f>
        <v>-2.2425032594524101E-2</v>
      </c>
      <c r="DG85" s="19" cm="1">
        <f t="array" aca="1" ref="DG85" ca="1">MIN(_xlfn._xlws.FILTER(CQ85:DD85,CQ85:DD85&gt;BJ85))</f>
        <v>2.2425032594524101E-2</v>
      </c>
      <c r="DH85" s="2" cm="1">
        <f t="array" aca="1" ref="DH85" ca="1">_FV(EE85,"Fechamento anterior",TRUE)</f>
        <v>4.46</v>
      </c>
      <c r="DI85" s="36">
        <f t="shared" ca="1" si="115"/>
        <v>0.5</v>
      </c>
      <c r="DJ85" s="18">
        <f t="shared" ca="1" si="139"/>
        <v>4.3599843546284225</v>
      </c>
      <c r="DK85" s="18">
        <f t="shared" ca="1" si="140"/>
        <v>4.5600156453715774</v>
      </c>
      <c r="DL85" s="9"/>
      <c r="DM85" s="9"/>
      <c r="DN85" s="9"/>
      <c r="DO85" s="9"/>
      <c r="DP85" s="79">
        <v>9.1330394484005858E-2</v>
      </c>
      <c r="DQ85" s="79">
        <v>1.7794456576869202E-2</v>
      </c>
      <c r="DR85" s="79">
        <v>2.1745486152265812E-2</v>
      </c>
      <c r="DS85" s="79">
        <f t="shared" ca="1" si="116"/>
        <v>4.4850065189048202E-2</v>
      </c>
      <c r="DT85" s="47"/>
      <c r="DU85" s="43">
        <f t="shared" si="117"/>
        <v>0.25984370302164339</v>
      </c>
      <c r="DV85" s="83">
        <f t="shared" ca="1" si="118"/>
        <v>2.2399</v>
      </c>
      <c r="DW85" s="83">
        <f t="shared" ca="1" si="119"/>
        <v>1.8138000000000001</v>
      </c>
      <c r="DX85" s="83">
        <f t="shared" ca="1" si="120"/>
        <v>0.42609999999999992</v>
      </c>
      <c r="DY85" s="67"/>
      <c r="DZ85" s="67"/>
      <c r="EA85" s="85"/>
      <c r="EB85" s="44">
        <v>1609800</v>
      </c>
      <c r="EC85" s="44" cm="1">
        <f t="array" aca="1" ref="EC85" ca="1">_FV(EE85,"Volume")</f>
        <v>927300</v>
      </c>
      <c r="EE85" s="2" t="e" vm="85">
        <v>#VALUE!</v>
      </c>
      <c r="EG85" s="10" cm="1">
        <f t="array" aca="1" ref="EG85" ca="1">_FV(EE85,"Ações em circulação",TRUE)</f>
        <v>141800000</v>
      </c>
      <c r="EH85" s="21">
        <f>VLOOKUP(BH85,Fundamentus!A:U,5,FALSE)</f>
        <v>0.19</v>
      </c>
      <c r="EI85" s="2">
        <f t="shared" ca="1" si="121"/>
        <v>3328568421.0526314</v>
      </c>
      <c r="EJ85" s="20">
        <v>7916917.8947368413</v>
      </c>
      <c r="EK85" s="20">
        <f t="shared" ca="1" si="122"/>
        <v>7988564.2105263146</v>
      </c>
      <c r="EM85" s="40" t="str">
        <f>IF(VLOOKUP(BH85,Fundamentus!A:U,3,FALSE)&lt;15,"Bom",IF(VLOOKUP(BH85,Fundamentus!A:U,3,FALSE)&gt;15,"Ruim","n/a"))</f>
        <v>Ruim</v>
      </c>
      <c r="EN85" s="36" t="str">
        <f>IF(VLOOKUP(BH85,Fundamentus!A:U,4,FALSE)&lt;1,"Baixo",IF(VLOOKUP(BH85,Fundamentus!A:U,4,FALSE)&lt;1.5,"Moderado",IF(VLOOKUP(BH85,Fundamentus!A:U,4,FALSE)&gt;1.5,"Alto","n/a")))</f>
        <v>Baixo</v>
      </c>
      <c r="EO85" s="20" t="str">
        <f>IF(VLOOKUP(BH85,Fundamentus!A:U,8,FALSE)&lt;0,"Risco elevado",IF(VLOOKUP(BH85,Fundamentus!A:U,8,FALSE)&lt;1,"Saudável",IF(VLOOKUP(BH85,Fundamentus!A:U,8,FALSE)&lt;3,"Estável",IF(VLOOKUP(BH85,Fundamentus!A:U,8,FALSE)&gt;3,"Alerta","n/a"))))</f>
        <v>Saudável</v>
      </c>
      <c r="EP85" s="36" t="str">
        <f t="shared" si="123"/>
        <v>Ruim</v>
      </c>
      <c r="EQ85" s="20" t="str">
        <f>IF(VLOOKUP(BH85,Fundamentus!A:U,12,FALSE)&lt;2,"Subvalorizada",IF(VLOOKUP(BH85,Fundamentus!A:U,12,FALSE)&lt;6,"Muita barata",IF(VLOOKUP(BH85,Fundamentus!A:U,12,FALSE)&lt;6,"Barata",IF(VLOOKUP(BH85,Fundamentus!A:U,12,FALSE)&lt;8,"Atrativa",IF(VLOOKUP(BH85,Fundamentus!A:U,12,FALSE)&gt;8,"Supervalorizada","n/a")))))</f>
        <v>Muita barata</v>
      </c>
      <c r="ES85" s="20" t="str">
        <f>IF(VLOOKUP(BH85,Fundamentus!A:U,17,FALSE)&lt;0.1,"Fraco retorno",IF(VLOOKUP(BH85,Fundamentus!A:U,17,FALSE)&gt;0.1,"Bom retorno","n/a"))</f>
        <v>Fraco retorno</v>
      </c>
      <c r="ET85" s="20" t="str">
        <f>IF(VLOOKUP(BH85,Fundamentus!A:U,16,FALSE)&lt;0.1,"Ineficiente",IF(VLOOKUP(BH85,Fundamentus!A:U,16,FALSE)&gt;0.1,"Eficiente","n/a"))</f>
        <v>Ineficiente</v>
      </c>
      <c r="EU85" s="41" t="str">
        <f>IF(VLOOKUP(BH85,Fundamentus!A:U,16,FALSE)&lt;0.1,"Oper. Ineficiente",IF(VLOOKUP(BH85,Fundamentus!A:U,16,FALSE)&gt;0.1,"Oper.Eficiente","n/a"))</f>
        <v>Oper. Ineficiente</v>
      </c>
      <c r="EV85" s="42">
        <f>VLOOKUP(BH85,Fundamentus!A:U,14,FALSE)</f>
        <v>2.3999999999999998E-3</v>
      </c>
      <c r="EW85" s="20" t="str">
        <f>IF(VLOOKUP(BH85,Fundamentus!A:U,21,FALSE)&lt;0,"Negativo",IF(VLOOKUP(BH85,Fundamentus!A:U,21,FALSE)&lt;0.05,"Fraco",IF(VLOOKUP(BH85,Fundamentus!A:U,21,FALSE)&lt;0.1,"Bom",IF(VLOOKUP(BH85,Fundamentus!A:U,21,FALSE)&gt;0.1,"Muito bom","n/a"))))</f>
        <v>Bom</v>
      </c>
      <c r="EY85" s="37" t="str">
        <f>IF(VLOOKUP(BH85,Fundamentus!A:U,15,FALSE)&gt;1,"Bom",IF(VLOOKUP(BH85,Fundamentus!A:U,15,FALSE)&lt;1,"Ruim","n/a"))</f>
        <v>Bom</v>
      </c>
      <c r="EZ85" s="20" t="str">
        <f>IF(VLOOKUP(BH85,Fundamentus!A:U,20,FALSE)&lt;0.5,"Baixa",IF(VLOOKUP(BH85,Fundamentus!A:U,20,FALSE)&lt;1,"Moderada",IF(VLOOKUP(BH85,Fundamentus!A:U,20,FALSE)&lt;2,"Alerta",IF(VLOOKUP(BH85,Fundamentus!A:U,20,FALSE)&gt;2,"Alta","n/a"))))</f>
        <v>Moderada</v>
      </c>
      <c r="FA85" s="10"/>
    </row>
    <row r="86" spans="1:157" s="2" customFormat="1" ht="11.25" hidden="1" x14ac:dyDescent="0.2">
      <c r="A86" s="4">
        <v>1.2</v>
      </c>
      <c r="B86" s="4">
        <v>1.17</v>
      </c>
      <c r="C86" s="4">
        <v>1.08</v>
      </c>
      <c r="D86" s="4">
        <v>1.1100000000000001</v>
      </c>
      <c r="E86" s="4">
        <v>1.05</v>
      </c>
      <c r="F86" s="4">
        <v>1</v>
      </c>
      <c r="G86" s="4">
        <v>0.98</v>
      </c>
      <c r="H86" s="4">
        <v>0.9</v>
      </c>
      <c r="I86" s="4">
        <v>0.87</v>
      </c>
      <c r="J86" s="4">
        <v>0.94</v>
      </c>
      <c r="K86" s="4">
        <v>0.92</v>
      </c>
      <c r="L86" s="4">
        <v>0.88</v>
      </c>
      <c r="M86" s="4">
        <v>0.85</v>
      </c>
      <c r="N86" s="4">
        <v>0.88</v>
      </c>
      <c r="O86" s="4">
        <v>0.91</v>
      </c>
      <c r="P86" s="4">
        <v>0.9</v>
      </c>
      <c r="Q86" s="4">
        <v>0.93</v>
      </c>
      <c r="R86" s="4">
        <v>0.9</v>
      </c>
      <c r="S86" s="4">
        <v>0.89</v>
      </c>
      <c r="T86" s="4">
        <v>0.87</v>
      </c>
      <c r="U86" s="4">
        <v>0.84</v>
      </c>
      <c r="V86" s="4">
        <v>0.84</v>
      </c>
      <c r="W86" s="4">
        <v>0.83</v>
      </c>
      <c r="X86" s="4">
        <v>0.79</v>
      </c>
      <c r="Y86" s="4">
        <v>0.8</v>
      </c>
      <c r="Z86" s="4">
        <v>0.8</v>
      </c>
      <c r="AA86" s="4">
        <v>0.78</v>
      </c>
      <c r="AB86" s="4">
        <v>0.78</v>
      </c>
      <c r="AC86" s="4">
        <v>0.7</v>
      </c>
      <c r="AD86" s="4">
        <v>0.69</v>
      </c>
      <c r="AE86" s="4">
        <v>0.59</v>
      </c>
      <c r="AF86" s="4">
        <v>0.59</v>
      </c>
      <c r="AG86" s="4">
        <v>0.57999999999999996</v>
      </c>
      <c r="AH86" s="4">
        <v>0.51</v>
      </c>
      <c r="AI86" s="4">
        <v>0.5</v>
      </c>
      <c r="AJ86" s="4">
        <v>0.5</v>
      </c>
      <c r="AK86" s="4">
        <v>0.52</v>
      </c>
      <c r="AL86" s="4">
        <v>4.75</v>
      </c>
      <c r="AM86" s="4">
        <v>4.55</v>
      </c>
      <c r="AN86" s="4">
        <v>4.75</v>
      </c>
      <c r="AO86" s="4">
        <v>5.09</v>
      </c>
      <c r="AP86" s="4">
        <v>4.95</v>
      </c>
      <c r="AQ86" s="4">
        <v>5.3</v>
      </c>
      <c r="AR86" s="4">
        <v>5.14</v>
      </c>
      <c r="AS86" s="4">
        <v>5.18</v>
      </c>
      <c r="AT86" s="4">
        <v>4.97</v>
      </c>
      <c r="AU86" s="4">
        <v>5.04</v>
      </c>
      <c r="AV86" s="4">
        <v>5.5</v>
      </c>
      <c r="AW86" s="4">
        <v>5.25</v>
      </c>
      <c r="AX86" s="4">
        <v>5.05</v>
      </c>
      <c r="AY86" s="12">
        <v>4.91</v>
      </c>
      <c r="AZ86" s="12">
        <v>5.05</v>
      </c>
      <c r="BA86" s="12">
        <v>4.5</v>
      </c>
      <c r="BB86" s="18">
        <v>4.8</v>
      </c>
      <c r="BC86" s="63">
        <v>4.67</v>
      </c>
      <c r="BD86" s="63">
        <v>4.33</v>
      </c>
      <c r="BE86" s="63">
        <v>4.3600000000000003</v>
      </c>
      <c r="BF86" s="63">
        <v>4.2</v>
      </c>
      <c r="BG86" s="91" cm="1">
        <f t="array" aca="1" ref="BG86" ca="1">_FV(EE86,"Preço")</f>
        <v>4.25</v>
      </c>
      <c r="BH86" s="93" t="s">
        <v>84</v>
      </c>
      <c r="BI86" s="32" cm="1">
        <f t="array" aca="1" ref="BI86" ca="1">_FV(EE86,"Beta")</f>
        <v>1.1748000000000001</v>
      </c>
      <c r="BJ86" s="96" cm="1">
        <f t="array" aca="1" ref="BJ86" ca="1">_FV(EE86,"Variação (%)",TRUE)</f>
        <v>7.1089999999999999E-3</v>
      </c>
      <c r="BK86" s="49"/>
      <c r="BL86" s="49"/>
      <c r="BN86" s="32"/>
      <c r="BO86" s="20" cm="1">
        <f t="array" aca="1" ref="BO86" ca="1">_FV(EE86,"Baixo")</f>
        <v>4.2300000000000004</v>
      </c>
      <c r="BP86" s="20" cm="1">
        <f t="array" aca="1" ref="BP86" ca="1">_FV(EE86,"Alto")</f>
        <v>4.25</v>
      </c>
      <c r="BQ86" s="32"/>
      <c r="BR86" s="74" t="e">
        <f ca="1">SQRT(22.5*(BG86/VLOOKUP(BH86,Fundamentus!A:U,3,FALSE))*(BG86/VLOOKUP(BH86,Fundamentus!A:U,4,FALSE)))</f>
        <v>#NUM!</v>
      </c>
      <c r="BT86" s="73">
        <f t="shared" ca="1" si="99"/>
        <v>1.1904761904761862E-2</v>
      </c>
      <c r="BU86" s="36">
        <f t="shared" si="100"/>
        <v>2.6333333333333337</v>
      </c>
      <c r="BV86" s="8"/>
      <c r="BW86" s="72">
        <f t="shared" si="101"/>
        <v>0.5</v>
      </c>
      <c r="BX86" s="72">
        <f t="shared" si="102"/>
        <v>2.2967241379310348</v>
      </c>
      <c r="BY86" s="72">
        <f t="shared" si="103"/>
        <v>5.5</v>
      </c>
      <c r="BZ86" s="17"/>
      <c r="CA86" s="17"/>
      <c r="CB86" s="43">
        <f t="shared" si="104"/>
        <v>3.7050081175730636</v>
      </c>
      <c r="CC86" s="18">
        <f t="shared" si="105"/>
        <v>4.0499718837862702</v>
      </c>
      <c r="CD86" s="43">
        <f t="shared" si="106"/>
        <v>4.3949356499994767</v>
      </c>
      <c r="CE86" s="98">
        <f t="shared" ca="1" si="107"/>
        <v>0.57985254048421264</v>
      </c>
      <c r="CF86" s="17"/>
      <c r="CG86" s="20">
        <f t="shared" si="108"/>
        <v>-3.7</v>
      </c>
      <c r="CH86" s="20">
        <f t="shared" si="109"/>
        <v>-1.6</v>
      </c>
      <c r="CI86" s="20">
        <f t="shared" si="110"/>
        <v>1.2999999999999998</v>
      </c>
      <c r="CJ86" s="49">
        <f t="shared" si="111"/>
        <v>3.4</v>
      </c>
      <c r="CK86" s="20">
        <f t="shared" si="112"/>
        <v>6.3</v>
      </c>
      <c r="CL86" s="20">
        <f t="shared" si="113"/>
        <v>8.4</v>
      </c>
      <c r="CM86" s="20">
        <f t="shared" si="114"/>
        <v>11.3</v>
      </c>
      <c r="CN86" s="2" cm="1">
        <f t="array" aca="1" ref="CN86" ca="1">MAX(_xlfn._xlws.FILTER(CG86:CM86,CG86:CM86&lt;BG86))</f>
        <v>3.4</v>
      </c>
      <c r="CO86" s="2" cm="1">
        <f t="array" aca="1" ref="CO86" ca="1">MIN(_xlfn._xlws.FILTER($CG86:$CM86,$CG86:$CM86&gt;BG86))</f>
        <v>6.3</v>
      </c>
      <c r="CP86" s="19">
        <f t="shared" ca="1" si="124"/>
        <v>0.85294117647058831</v>
      </c>
      <c r="CQ86" s="23">
        <f t="shared" ca="1" si="125"/>
        <v>-0.42647058823529416</v>
      </c>
      <c r="CR86" s="23">
        <f t="shared" ca="1" si="126"/>
        <v>-0.28431372549019612</v>
      </c>
      <c r="CS86" s="23">
        <f t="shared" ca="1" si="127"/>
        <v>-0.17058823529411765</v>
      </c>
      <c r="CT86" s="23">
        <f t="shared" ca="1" si="128"/>
        <v>-9.477124183006537E-2</v>
      </c>
      <c r="CU86" s="23">
        <f t="shared" ca="1" si="129"/>
        <v>-5.0173010380622843E-2</v>
      </c>
      <c r="CV86" s="23">
        <f t="shared" ca="1" si="130"/>
        <v>-2.5846702317290554E-2</v>
      </c>
      <c r="CW86" s="23">
        <f t="shared" ca="1" si="131"/>
        <v>-1.3122171945701359E-2</v>
      </c>
      <c r="CX86" s="24">
        <f t="shared" ca="1" si="132"/>
        <v>1.3122171945701359E-2</v>
      </c>
      <c r="CY86" s="24">
        <f t="shared" ca="1" si="133"/>
        <v>2.5846702317290554E-2</v>
      </c>
      <c r="CZ86" s="24">
        <f t="shared" ca="1" si="134"/>
        <v>5.0173010380622843E-2</v>
      </c>
      <c r="DA86" s="24">
        <f t="shared" ca="1" si="135"/>
        <v>9.477124183006537E-2</v>
      </c>
      <c r="DB86" s="24">
        <f t="shared" ca="1" si="136"/>
        <v>0.17058823529411765</v>
      </c>
      <c r="DC86" s="24">
        <f t="shared" ca="1" si="137"/>
        <v>0.28431372549019612</v>
      </c>
      <c r="DD86" s="24">
        <f t="shared" ca="1" si="138"/>
        <v>0.42647058823529416</v>
      </c>
      <c r="DF86" s="19" cm="1">
        <f t="array" aca="1" ref="DF86" ca="1">MAX(_xlfn._xlws.FILTER(CQ86:DD86,CQ86:DD86&lt;BJ86))</f>
        <v>-1.3122171945701359E-2</v>
      </c>
      <c r="DG86" s="19" cm="1">
        <f t="array" aca="1" ref="DG86" ca="1">MIN(_xlfn._xlws.FILTER(CQ86:DD86,CQ86:DD86&gt;BJ86))</f>
        <v>1.3122171945701359E-2</v>
      </c>
      <c r="DH86" s="2" cm="1">
        <f t="array" aca="1" ref="DH86" ca="1">_FV(EE86,"Fechamento anterior",TRUE)</f>
        <v>4.22</v>
      </c>
      <c r="DI86" s="36">
        <f t="shared" ca="1" si="115"/>
        <v>0.77087759437816683</v>
      </c>
      <c r="DJ86" s="18">
        <f t="shared" ca="1" si="139"/>
        <v>4.1646244343891397</v>
      </c>
      <c r="DK86" s="18">
        <f t="shared" ca="1" si="140"/>
        <v>4.2753755656108599</v>
      </c>
      <c r="DL86" s="9"/>
      <c r="DM86" s="9"/>
      <c r="DN86" s="9"/>
      <c r="DO86" s="9"/>
      <c r="DP86" s="79">
        <v>2.0561290055134112E-2</v>
      </c>
      <c r="DQ86" s="79">
        <v>3.7695698434412533E-2</v>
      </c>
      <c r="DR86" s="79">
        <v>2.4358974358974363E-2</v>
      </c>
      <c r="DS86" s="79">
        <f t="shared" ca="1" si="116"/>
        <v>2.6244343891402719E-2</v>
      </c>
      <c r="DT86" s="47"/>
      <c r="DU86" s="43">
        <f t="shared" si="117"/>
        <v>0.17248188310660328</v>
      </c>
      <c r="DV86" s="83">
        <f t="shared" ca="1" si="118"/>
        <v>1.6009</v>
      </c>
      <c r="DW86" s="83">
        <f t="shared" ca="1" si="119"/>
        <v>0.46390000000000009</v>
      </c>
      <c r="DX86" s="83">
        <f t="shared" ca="1" si="120"/>
        <v>1.137</v>
      </c>
      <c r="DY86" s="67"/>
      <c r="DZ86" s="67"/>
      <c r="EA86" s="85"/>
      <c r="EB86" s="44">
        <v>1200</v>
      </c>
      <c r="EC86" s="44" cm="1">
        <f t="array" aca="1" ref="EC86" ca="1">_FV(EE86,"Volume")</f>
        <v>600</v>
      </c>
      <c r="EE86" s="2" t="e" vm="86">
        <v>#VALUE!</v>
      </c>
      <c r="EG86" s="10" cm="1">
        <f t="array" aca="1" ref="EG86" ca="1">_FV(EE86,"Ações em circulação",TRUE)</f>
        <v>11109350</v>
      </c>
      <c r="EH86" s="21">
        <f>VLOOKUP(BH86,Fundamentus!A:U,5,FALSE)</f>
        <v>0.29099999999999998</v>
      </c>
      <c r="EI86" s="2">
        <f t="shared" ca="1" si="121"/>
        <v>162249957.04467356</v>
      </c>
      <c r="EJ86" s="20">
        <v>-19609720.69072165</v>
      </c>
      <c r="EK86" s="20">
        <f t="shared" ca="1" si="122"/>
        <v>-19843169.746563576</v>
      </c>
      <c r="EM86" s="40" t="str">
        <f>IF(VLOOKUP(BH86,Fundamentus!A:U,3,FALSE)&lt;15,"Bom",IF(VLOOKUP(BH86,Fundamentus!A:U,3,FALSE)&gt;15,"Ruim","n/a"))</f>
        <v>Bom</v>
      </c>
      <c r="EN86" s="36" t="str">
        <f>IF(VLOOKUP(BH86,Fundamentus!A:U,4,FALSE)&lt;1,"Baixo",IF(VLOOKUP(BH86,Fundamentus!A:U,4,FALSE)&lt;1.5,"Moderado",IF(VLOOKUP(BH86,Fundamentus!A:U,4,FALSE)&gt;1.5,"Alto","n/a")))</f>
        <v>Baixo</v>
      </c>
      <c r="EO86" s="20" t="str">
        <f>IF(VLOOKUP(BH86,Fundamentus!A:U,8,FALSE)&lt;0,"Risco elevado",IF(VLOOKUP(BH86,Fundamentus!A:U,8,FALSE)&lt;1,"Saudável",IF(VLOOKUP(BH86,Fundamentus!A:U,8,FALSE)&lt;3,"Estável",IF(VLOOKUP(BH86,Fundamentus!A:U,8,FALSE)&gt;3,"Alerta","n/a"))))</f>
        <v>Saudável</v>
      </c>
      <c r="EP86" s="36" t="str">
        <f t="shared" si="123"/>
        <v>Ruim</v>
      </c>
      <c r="EQ86" s="20" t="str">
        <f>IF(VLOOKUP(BH86,Fundamentus!A:U,12,FALSE)&lt;2,"Subvalorizada",IF(VLOOKUP(BH86,Fundamentus!A:U,12,FALSE)&lt;6,"Muita barata",IF(VLOOKUP(BH86,Fundamentus!A:U,12,FALSE)&lt;6,"Barata",IF(VLOOKUP(BH86,Fundamentus!A:U,12,FALSE)&lt;8,"Atrativa",IF(VLOOKUP(BH86,Fundamentus!A:U,12,FALSE)&gt;8,"Supervalorizada","n/a")))))</f>
        <v>Muita barata</v>
      </c>
      <c r="ES86" s="20" t="str">
        <f>IF(VLOOKUP(BH86,Fundamentus!A:U,17,FALSE)&lt;0.1,"Fraco retorno",IF(VLOOKUP(BH86,Fundamentus!A:U,17,FALSE)&gt;0.1,"Bom retorno","n/a"))</f>
        <v>Fraco retorno</v>
      </c>
      <c r="ET86" s="20" t="str">
        <f>IF(VLOOKUP(BH86,Fundamentus!A:U,16,FALSE)&lt;0.1,"Ineficiente",IF(VLOOKUP(BH86,Fundamentus!A:U,16,FALSE)&gt;0.1,"Eficiente","n/a"))</f>
        <v>Ineficiente</v>
      </c>
      <c r="EU86" s="41" t="str">
        <f>IF(VLOOKUP(BH86,Fundamentus!A:U,16,FALSE)&lt;0.1,"Oper. Ineficiente",IF(VLOOKUP(BH86,Fundamentus!A:U,16,FALSE)&gt;0.1,"Oper.Eficiente","n/a"))</f>
        <v>Oper. Ineficiente</v>
      </c>
      <c r="EV86" s="42">
        <f>VLOOKUP(BH86,Fundamentus!A:U,14,FALSE)</f>
        <v>-0.12230000000000001</v>
      </c>
      <c r="EW86" s="20" t="str">
        <f>IF(VLOOKUP(BH86,Fundamentus!A:U,21,FALSE)&lt;0,"Negativo",IF(VLOOKUP(BH86,Fundamentus!A:U,21,FALSE)&lt;0.05,"Fraco",IF(VLOOKUP(BH86,Fundamentus!A:U,21,FALSE)&lt;0.1,"Bom",IF(VLOOKUP(BH86,Fundamentus!A:U,21,FALSE)&gt;0.1,"Muito bom","n/a"))))</f>
        <v>Negativo</v>
      </c>
      <c r="EY86" s="37" t="str">
        <f>IF(VLOOKUP(BH86,Fundamentus!A:U,15,FALSE)&gt;1,"Bom",IF(VLOOKUP(BH86,Fundamentus!A:U,15,FALSE)&lt;1,"Ruim","n/a"))</f>
        <v>Bom</v>
      </c>
      <c r="EZ86" s="20" t="str">
        <f>IF(VLOOKUP(BH86,Fundamentus!A:U,20,FALSE)&lt;0.5,"Baixa",IF(VLOOKUP(BH86,Fundamentus!A:U,20,FALSE)&lt;1,"Moderada",IF(VLOOKUP(BH86,Fundamentus!A:U,20,FALSE)&lt;2,"Alerta",IF(VLOOKUP(BH86,Fundamentus!A:U,20,FALSE)&gt;2,"Alta","n/a"))))</f>
        <v>Baixa</v>
      </c>
      <c r="FA86" s="10"/>
    </row>
    <row r="87" spans="1:157" s="2" customFormat="1" ht="11.25" hidden="1" x14ac:dyDescent="0.2">
      <c r="A87" s="4">
        <v>34.4</v>
      </c>
      <c r="B87" s="4">
        <v>34.29</v>
      </c>
      <c r="C87" s="4">
        <v>35.57</v>
      </c>
      <c r="D87" s="4">
        <v>33.58</v>
      </c>
      <c r="E87" s="4">
        <v>31.25</v>
      </c>
      <c r="F87" s="4">
        <v>31.86</v>
      </c>
      <c r="G87" s="4">
        <v>30.51</v>
      </c>
      <c r="H87" s="4">
        <v>30.96</v>
      </c>
      <c r="I87" s="4">
        <v>29.34</v>
      </c>
      <c r="J87" s="4">
        <v>27.57</v>
      </c>
      <c r="K87" s="4">
        <v>28.4</v>
      </c>
      <c r="L87" s="4">
        <v>28.87</v>
      </c>
      <c r="M87" s="4">
        <v>27.83</v>
      </c>
      <c r="N87" s="4">
        <v>27.14</v>
      </c>
      <c r="O87" s="4">
        <v>29.53</v>
      </c>
      <c r="P87" s="4">
        <v>28.02</v>
      </c>
      <c r="Q87" s="4">
        <v>28.09</v>
      </c>
      <c r="R87" s="4">
        <v>27.16</v>
      </c>
      <c r="S87" s="4">
        <v>27.76</v>
      </c>
      <c r="T87" s="4">
        <v>27.35</v>
      </c>
      <c r="U87" s="4">
        <v>25.95</v>
      </c>
      <c r="V87" s="4">
        <v>24.95</v>
      </c>
      <c r="W87" s="4">
        <v>26.53</v>
      </c>
      <c r="X87" s="4">
        <v>25.29</v>
      </c>
      <c r="Y87" s="4">
        <v>24.92</v>
      </c>
      <c r="Z87" s="4">
        <v>24.6</v>
      </c>
      <c r="AA87" s="4">
        <v>25.5</v>
      </c>
      <c r="AB87" s="4">
        <v>24.79</v>
      </c>
      <c r="AC87" s="4">
        <v>25.4</v>
      </c>
      <c r="AD87" s="4">
        <v>23.79</v>
      </c>
      <c r="AE87" s="4">
        <v>22.42</v>
      </c>
      <c r="AF87" s="4">
        <v>21.67</v>
      </c>
      <c r="AG87" s="4">
        <v>21.22</v>
      </c>
      <c r="AH87" s="4">
        <v>20.52</v>
      </c>
      <c r="AI87" s="4">
        <v>20.16</v>
      </c>
      <c r="AJ87" s="4">
        <v>19.59</v>
      </c>
      <c r="AK87" s="4">
        <v>19.28</v>
      </c>
      <c r="AL87" s="4">
        <v>19.399999999999999</v>
      </c>
      <c r="AM87" s="4">
        <v>20.2</v>
      </c>
      <c r="AN87" s="4">
        <v>23.08</v>
      </c>
      <c r="AO87" s="4">
        <v>21.61</v>
      </c>
      <c r="AP87" s="4">
        <v>22.73</v>
      </c>
      <c r="AQ87" s="4">
        <v>23.69</v>
      </c>
      <c r="AR87" s="4">
        <v>22.46</v>
      </c>
      <c r="AS87" s="4">
        <v>23.7</v>
      </c>
      <c r="AT87" s="4">
        <v>23.29</v>
      </c>
      <c r="AU87" s="4">
        <v>23.815000000000001</v>
      </c>
      <c r="AV87" s="4">
        <v>22.41</v>
      </c>
      <c r="AW87" s="4">
        <v>23.81</v>
      </c>
      <c r="AX87" s="4">
        <v>23.89</v>
      </c>
      <c r="AY87" s="12">
        <v>25.18</v>
      </c>
      <c r="AZ87" s="12">
        <v>24.83</v>
      </c>
      <c r="BA87" s="12">
        <v>25.37</v>
      </c>
      <c r="BB87" s="18">
        <v>23.56</v>
      </c>
      <c r="BC87" s="63">
        <v>23.97</v>
      </c>
      <c r="BD87" s="63">
        <v>23.61</v>
      </c>
      <c r="BE87" s="63">
        <v>23.78</v>
      </c>
      <c r="BF87" s="63">
        <v>23.5</v>
      </c>
      <c r="BG87" s="91" cm="1">
        <f t="array" aca="1" ref="BG87" ca="1">_FV(EE87,"Preço")</f>
        <v>23.11</v>
      </c>
      <c r="BH87" s="93" t="s">
        <v>85</v>
      </c>
      <c r="BI87" s="32" cm="1">
        <f t="array" aca="1" ref="BI87" ca="1">_FV(EE87,"Beta")</f>
        <v>0.87680000000000002</v>
      </c>
      <c r="BJ87" s="96" cm="1">
        <f t="array" aca="1" ref="BJ87" ca="1">_FV(EE87,"Variação (%)",TRUE)</f>
        <v>-9.4299999999999991E-3</v>
      </c>
      <c r="BK87" s="49"/>
      <c r="BL87" s="49"/>
      <c r="BN87" s="32"/>
      <c r="BO87" s="20" cm="1">
        <f t="array" aca="1" ref="BO87" ca="1">_FV(EE87,"Baixo")</f>
        <v>22.9</v>
      </c>
      <c r="BP87" s="20" cm="1">
        <f t="array" aca="1" ref="BP87" ca="1">_FV(EE87,"Alto")</f>
        <v>23.29</v>
      </c>
      <c r="BQ87" s="32"/>
      <c r="BR87" s="74">
        <f ca="1">SQRT(22.5*(BG87/VLOOKUP(BH87,Fundamentus!A:U,3,FALSE))*(BG87/VLOOKUP(BH87,Fundamentus!A:U,4,FALSE)))</f>
        <v>29.049336000166367</v>
      </c>
      <c r="BT87" s="73">
        <f t="shared" ca="1" si="99"/>
        <v>-1.6595744680851086E-2</v>
      </c>
      <c r="BU87" s="36">
        <f t="shared" si="100"/>
        <v>-0.30872093023255809</v>
      </c>
      <c r="BV87" s="8"/>
      <c r="BW87" s="72">
        <f t="shared" si="101"/>
        <v>19.28</v>
      </c>
      <c r="BX87" s="72">
        <f t="shared" si="102"/>
        <v>25.585258620689647</v>
      </c>
      <c r="BY87" s="72">
        <f t="shared" si="103"/>
        <v>35.57</v>
      </c>
      <c r="BZ87" s="17"/>
      <c r="CA87" s="17"/>
      <c r="CB87" s="43">
        <f t="shared" si="104"/>
        <v>23.053572477355029</v>
      </c>
      <c r="CC87" s="18">
        <f t="shared" si="105"/>
        <v>23.409240862230604</v>
      </c>
      <c r="CD87" s="43">
        <f t="shared" si="106"/>
        <v>23.764909247106178</v>
      </c>
      <c r="CE87" s="98">
        <f t="shared" ca="1" si="107"/>
        <v>-0.84134793801054164</v>
      </c>
      <c r="CF87" s="17"/>
      <c r="CG87" s="20">
        <f t="shared" si="108"/>
        <v>0.37333333333332774</v>
      </c>
      <c r="CH87" s="20">
        <f t="shared" si="109"/>
        <v>9.8266666666666644</v>
      </c>
      <c r="CI87" s="20">
        <f t="shared" si="110"/>
        <v>16.663333333333327</v>
      </c>
      <c r="CJ87" s="49">
        <f t="shared" si="111"/>
        <v>26.116666666666664</v>
      </c>
      <c r="CK87" s="20">
        <f t="shared" si="112"/>
        <v>32.953333333333326</v>
      </c>
      <c r="CL87" s="20">
        <f t="shared" si="113"/>
        <v>42.406666666666666</v>
      </c>
      <c r="CM87" s="20">
        <f t="shared" si="114"/>
        <v>49.243333333333325</v>
      </c>
      <c r="CN87" s="2" cm="1">
        <f t="array" aca="1" ref="CN87" ca="1">MAX(_xlfn._xlws.FILTER(CG87:CM87,CG87:CM87&lt;BG87))</f>
        <v>16.663333333333327</v>
      </c>
      <c r="CO87" s="2" cm="1">
        <f t="array" aca="1" ref="CO87" ca="1">MIN(_xlfn._xlws.FILTER($CG87:$CM87,$CG87:$CM87&gt;BG87))</f>
        <v>26.116666666666664</v>
      </c>
      <c r="CP87" s="19">
        <f t="shared" ca="1" si="124"/>
        <v>0.56731346269253891</v>
      </c>
      <c r="CQ87" s="23">
        <f t="shared" ca="1" si="125"/>
        <v>-0.28365673134626945</v>
      </c>
      <c r="CR87" s="23">
        <f t="shared" ca="1" si="126"/>
        <v>-0.18910448756417964</v>
      </c>
      <c r="CS87" s="23">
        <f t="shared" ca="1" si="127"/>
        <v>-0.11346269253850778</v>
      </c>
      <c r="CT87" s="23">
        <f t="shared" ca="1" si="128"/>
        <v>-6.3034829188059874E-2</v>
      </c>
      <c r="CU87" s="23">
        <f t="shared" ca="1" si="129"/>
        <v>-3.3371380158384645E-2</v>
      </c>
      <c r="CV87" s="23">
        <f t="shared" ca="1" si="130"/>
        <v>-1.7191317051289057E-2</v>
      </c>
      <c r="CW87" s="23">
        <f t="shared" ca="1" si="131"/>
        <v>-8.7278994260390607E-3</v>
      </c>
      <c r="CX87" s="24">
        <f t="shared" ca="1" si="132"/>
        <v>8.7278994260390607E-3</v>
      </c>
      <c r="CY87" s="24">
        <f t="shared" ca="1" si="133"/>
        <v>1.7191317051289057E-2</v>
      </c>
      <c r="CZ87" s="24">
        <f t="shared" ca="1" si="134"/>
        <v>3.3371380158384645E-2</v>
      </c>
      <c r="DA87" s="24">
        <f t="shared" ca="1" si="135"/>
        <v>6.3034829188059874E-2</v>
      </c>
      <c r="DB87" s="24">
        <f t="shared" ca="1" si="136"/>
        <v>0.11346269253850778</v>
      </c>
      <c r="DC87" s="24">
        <f t="shared" ca="1" si="137"/>
        <v>0.18910448756417964</v>
      </c>
      <c r="DD87" s="24">
        <f t="shared" ca="1" si="138"/>
        <v>0.28365673134626945</v>
      </c>
      <c r="DF87" s="19" cm="1">
        <f t="array" aca="1" ref="DF87" ca="1">MAX(_xlfn._xlws.FILTER(CQ87:DD87,CQ87:DD87&lt;BJ87))</f>
        <v>-1.7191317051289057E-2</v>
      </c>
      <c r="DG87" s="19" cm="1">
        <f t="array" aca="1" ref="DG87" ca="1">MIN(_xlfn._xlws.FILTER(CQ87:DD87,CQ87:DD87&gt;BJ87))</f>
        <v>-8.7278994260390607E-3</v>
      </c>
      <c r="DH87" s="2" cm="1">
        <f t="array" aca="1" ref="DH87" ca="1">_FV(EE87,"Fechamento anterior",TRUE)</f>
        <v>23.33</v>
      </c>
      <c r="DI87" s="36">
        <f t="shared" ca="1" si="115"/>
        <v>0.91705252359746958</v>
      </c>
      <c r="DJ87" s="18">
        <f t="shared" ca="1" si="139"/>
        <v>22.928926573193426</v>
      </c>
      <c r="DK87" s="18">
        <f t="shared" ca="1" si="140"/>
        <v>23.126378106390508</v>
      </c>
      <c r="DL87" s="9"/>
      <c r="DM87" s="9"/>
      <c r="DN87" s="9"/>
      <c r="DO87" s="9"/>
      <c r="DP87" s="79">
        <v>3.6282981539981119E-3</v>
      </c>
      <c r="DQ87" s="79">
        <v>1.1604443105186046E-2</v>
      </c>
      <c r="DR87" s="79">
        <v>2.3934163904446221E-2</v>
      </c>
      <c r="DS87" s="79">
        <f t="shared" ca="1" si="116"/>
        <v>8.4634176252499967E-3</v>
      </c>
      <c r="DT87" s="47"/>
      <c r="DU87" s="43">
        <f t="shared" si="117"/>
        <v>0.17783419243778717</v>
      </c>
      <c r="DV87" s="83">
        <f t="shared" ca="1" si="118"/>
        <v>1.3028999999999999</v>
      </c>
      <c r="DW87" s="83">
        <f t="shared" ca="1" si="119"/>
        <v>1.8197999999999999</v>
      </c>
      <c r="DX87" s="83">
        <f t="shared" ca="1" si="120"/>
        <v>-0.51689999999999992</v>
      </c>
      <c r="DY87" s="67"/>
      <c r="DZ87" s="67"/>
      <c r="EA87" s="85"/>
      <c r="EB87" s="44">
        <v>417900</v>
      </c>
      <c r="EC87" s="44" cm="1">
        <f t="array" aca="1" ref="EC87" ca="1">_FV(EE87,"Volume")</f>
        <v>232000</v>
      </c>
      <c r="EE87" s="2" t="e" vm="87">
        <v>#VALUE!</v>
      </c>
      <c r="EG87" s="10" cm="1">
        <f t="array" aca="1" ref="EG87" ca="1">_FV(EE87,"Ações em circulação",TRUE)</f>
        <v>339000000</v>
      </c>
      <c r="EH87" s="21">
        <f>VLOOKUP(BH87,Fundamentus!A:U,5,FALSE)</f>
        <v>0.82</v>
      </c>
      <c r="EI87" s="2">
        <f t="shared" ca="1" si="121"/>
        <v>9554012195.1219521</v>
      </c>
      <c r="EJ87" s="20">
        <v>559598048.7804879</v>
      </c>
      <c r="EK87" s="20">
        <f t="shared" ca="1" si="122"/>
        <v>550311102.43902445</v>
      </c>
      <c r="EM87" s="40" t="str">
        <f>IF(VLOOKUP(BH87,Fundamentus!A:U,3,FALSE)&lt;15,"Bom",IF(VLOOKUP(BH87,Fundamentus!A:U,3,FALSE)&gt;15,"Ruim","n/a"))</f>
        <v>Bom</v>
      </c>
      <c r="EN87" s="36" t="str">
        <f>IF(VLOOKUP(BH87,Fundamentus!A:U,4,FALSE)&lt;1,"Baixo",IF(VLOOKUP(BH87,Fundamentus!A:U,4,FALSE)&lt;1.5,"Moderado",IF(VLOOKUP(BH87,Fundamentus!A:U,4,FALSE)&gt;1.5,"Alto","n/a")))</f>
        <v>Moderado</v>
      </c>
      <c r="EO87" s="20" t="str">
        <f>IF(VLOOKUP(BH87,Fundamentus!A:U,8,FALSE)&lt;0,"Risco elevado",IF(VLOOKUP(BH87,Fundamentus!A:U,8,FALSE)&lt;1,"Saudável",IF(VLOOKUP(BH87,Fundamentus!A:U,8,FALSE)&lt;3,"Estável",IF(VLOOKUP(BH87,Fundamentus!A:U,8,FALSE)&gt;3,"Alerta","n/a"))))</f>
        <v>Estável</v>
      </c>
      <c r="EP87" s="36" t="str">
        <f t="shared" si="123"/>
        <v>Ruim</v>
      </c>
      <c r="EQ87" s="20" t="str">
        <f>IF(VLOOKUP(BH87,Fundamentus!A:U,12,FALSE)&lt;2,"Subvalorizada",IF(VLOOKUP(BH87,Fundamentus!A:U,12,FALSE)&lt;6,"Muita barata",IF(VLOOKUP(BH87,Fundamentus!A:U,12,FALSE)&lt;6,"Barata",IF(VLOOKUP(BH87,Fundamentus!A:U,12,FALSE)&lt;8,"Atrativa",IF(VLOOKUP(BH87,Fundamentus!A:U,12,FALSE)&gt;8,"Supervalorizada","n/a")))))</f>
        <v>Atrativa</v>
      </c>
      <c r="ES87" s="20" t="str">
        <f>IF(VLOOKUP(BH87,Fundamentus!A:U,17,FALSE)&lt;0.1,"Fraco retorno",IF(VLOOKUP(BH87,Fundamentus!A:U,17,FALSE)&gt;0.1,"Bom retorno","n/a"))</f>
        <v>Fraco retorno</v>
      </c>
      <c r="ET87" s="20" t="str">
        <f>IF(VLOOKUP(BH87,Fundamentus!A:U,16,FALSE)&lt;0.1,"Ineficiente",IF(VLOOKUP(BH87,Fundamentus!A:U,16,FALSE)&gt;0.1,"Eficiente","n/a"))</f>
        <v>Ineficiente</v>
      </c>
      <c r="EU87" s="41" t="str">
        <f>IF(VLOOKUP(BH87,Fundamentus!A:U,16,FALSE)&lt;0.1,"Oper. Ineficiente",IF(VLOOKUP(BH87,Fundamentus!A:U,16,FALSE)&gt;0.1,"Oper.Eficiente","n/a"))</f>
        <v>Oper. Ineficiente</v>
      </c>
      <c r="EV87" s="42">
        <f>VLOOKUP(BH87,Fundamentus!A:U,14,FALSE)</f>
        <v>5.7599999999999998E-2</v>
      </c>
      <c r="EW87" s="20" t="str">
        <f>IF(VLOOKUP(BH87,Fundamentus!A:U,21,FALSE)&lt;0,"Negativo",IF(VLOOKUP(BH87,Fundamentus!A:U,21,FALSE)&lt;0.05,"Fraco",IF(VLOOKUP(BH87,Fundamentus!A:U,21,FALSE)&lt;0.1,"Bom",IF(VLOOKUP(BH87,Fundamentus!A:U,21,FALSE)&gt;0.1,"Muito bom","n/a"))))</f>
        <v>Bom</v>
      </c>
      <c r="EY87" s="37" t="str">
        <f>IF(VLOOKUP(BH87,Fundamentus!A:U,15,FALSE)&gt;1,"Bom",IF(VLOOKUP(BH87,Fundamentus!A:U,15,FALSE)&lt;1,"Ruim","n/a"))</f>
        <v>Bom</v>
      </c>
      <c r="EZ87" s="20" t="str">
        <f>IF(VLOOKUP(BH87,Fundamentus!A:U,20,FALSE)&lt;0.5,"Baixa",IF(VLOOKUP(BH87,Fundamentus!A:U,20,FALSE)&lt;1,"Moderada",IF(VLOOKUP(BH87,Fundamentus!A:U,20,FALSE)&lt;2,"Alerta",IF(VLOOKUP(BH87,Fundamentus!A:U,20,FALSE)&gt;2,"Alta","n/a"))))</f>
        <v>Baixa</v>
      </c>
      <c r="FA87" s="10"/>
    </row>
    <row r="88" spans="1:157" s="2" customFormat="1" ht="11.25" hidden="1" x14ac:dyDescent="0.2">
      <c r="A88" s="4">
        <v>13.78</v>
      </c>
      <c r="B88" s="4">
        <v>13.45</v>
      </c>
      <c r="C88" s="4">
        <v>13.43</v>
      </c>
      <c r="D88" s="4">
        <v>12.94</v>
      </c>
      <c r="E88" s="4">
        <v>12.69</v>
      </c>
      <c r="F88" s="4">
        <v>12.95</v>
      </c>
      <c r="G88" s="4">
        <v>12.83</v>
      </c>
      <c r="H88" s="4">
        <v>12.4</v>
      </c>
      <c r="I88" s="4">
        <v>12.38</v>
      </c>
      <c r="J88" s="4">
        <v>12.46</v>
      </c>
      <c r="K88" s="4">
        <v>12.64</v>
      </c>
      <c r="L88" s="4">
        <v>12.49</v>
      </c>
      <c r="M88" s="4">
        <v>12.45</v>
      </c>
      <c r="N88" s="4">
        <v>12.65</v>
      </c>
      <c r="O88" s="4">
        <v>14.6</v>
      </c>
      <c r="P88" s="4">
        <v>14.86</v>
      </c>
      <c r="Q88" s="4">
        <v>15.66</v>
      </c>
      <c r="R88" s="4">
        <v>15.64</v>
      </c>
      <c r="S88" s="4">
        <v>15.7</v>
      </c>
      <c r="T88" s="4">
        <v>15.55</v>
      </c>
      <c r="U88" s="4">
        <v>14.75</v>
      </c>
      <c r="V88" s="4">
        <v>14.94</v>
      </c>
      <c r="W88" s="4">
        <v>15.06</v>
      </c>
      <c r="X88" s="4">
        <v>14.8</v>
      </c>
      <c r="Y88" s="4">
        <v>15.15</v>
      </c>
      <c r="Z88" s="4">
        <v>14.93</v>
      </c>
      <c r="AA88" s="4">
        <v>14.11</v>
      </c>
      <c r="AB88" s="4">
        <v>13.54</v>
      </c>
      <c r="AC88" s="4">
        <v>13.53</v>
      </c>
      <c r="AD88" s="4">
        <v>13.8</v>
      </c>
      <c r="AE88" s="4">
        <v>12.63</v>
      </c>
      <c r="AF88" s="4">
        <v>12.32</v>
      </c>
      <c r="AG88" s="4">
        <v>12.1</v>
      </c>
      <c r="AH88" s="4">
        <v>11.55</v>
      </c>
      <c r="AI88" s="4">
        <v>11.55</v>
      </c>
      <c r="AJ88" s="4">
        <v>11.2</v>
      </c>
      <c r="AK88" s="4">
        <v>11.18</v>
      </c>
      <c r="AL88" s="4">
        <v>11.59</v>
      </c>
      <c r="AM88" s="4">
        <v>11.3</v>
      </c>
      <c r="AN88" s="4">
        <v>12.09</v>
      </c>
      <c r="AO88" s="4">
        <v>11.99</v>
      </c>
      <c r="AP88" s="4">
        <v>12.19</v>
      </c>
      <c r="AQ88" s="4">
        <v>11.84</v>
      </c>
      <c r="AR88" s="4">
        <v>11.24</v>
      </c>
      <c r="AS88" s="4">
        <v>11.69</v>
      </c>
      <c r="AT88" s="4">
        <v>12.13</v>
      </c>
      <c r="AU88" s="4">
        <v>12.475</v>
      </c>
      <c r="AV88" s="4">
        <v>12.84</v>
      </c>
      <c r="AW88" s="4">
        <v>12.57</v>
      </c>
      <c r="AX88" s="4">
        <v>12.62</v>
      </c>
      <c r="AY88" s="12">
        <v>12.78</v>
      </c>
      <c r="AZ88" s="12">
        <v>13.38</v>
      </c>
      <c r="BA88" s="12">
        <v>13.73</v>
      </c>
      <c r="BB88" s="18">
        <v>15.08</v>
      </c>
      <c r="BC88" s="63">
        <v>15.35</v>
      </c>
      <c r="BD88" s="63">
        <v>15.64</v>
      </c>
      <c r="BE88" s="63">
        <v>16.2</v>
      </c>
      <c r="BF88" s="63">
        <v>15.96</v>
      </c>
      <c r="BG88" s="91" cm="1">
        <f t="array" aca="1" ref="BG88" ca="1">_FV(EE88,"Preço")</f>
        <v>16.29</v>
      </c>
      <c r="BH88" s="93" t="s">
        <v>110</v>
      </c>
      <c r="BI88" s="32" cm="1">
        <f t="array" aca="1" ref="BI88" ca="1">_FV(EE88,"Beta")</f>
        <v>1.488</v>
      </c>
      <c r="BJ88" s="96" cm="1">
        <f t="array" aca="1" ref="BJ88" ca="1">_FV(EE88,"Variação (%)",TRUE)</f>
        <v>-1.1529000000000001E-2</v>
      </c>
      <c r="BK88" s="49"/>
      <c r="BL88" s="49"/>
      <c r="BN88" s="32"/>
      <c r="BO88" s="20" cm="1">
        <f t="array" aca="1" ref="BO88" ca="1">_FV(EE88,"Baixo")</f>
        <v>16.14</v>
      </c>
      <c r="BP88" s="20" cm="1">
        <f t="array" aca="1" ref="BP88" ca="1">_FV(EE88,"Alto")</f>
        <v>16.45</v>
      </c>
      <c r="BQ88" s="32"/>
      <c r="BR88" s="74">
        <f ca="1">SQRT(22.5*(BG88/VLOOKUP(BH88,Fundamentus!A:U,3,FALSE))*(BG88/VLOOKUP(BH88,Fundamentus!A:U,4,FALSE)))</f>
        <v>26.620553377628625</v>
      </c>
      <c r="BT88" s="73">
        <f t="shared" ca="1" si="99"/>
        <v>2.06766917293232E-2</v>
      </c>
      <c r="BU88" s="36">
        <f t="shared" si="100"/>
        <v>0.17561683599419448</v>
      </c>
      <c r="BV88" s="8"/>
      <c r="BW88" s="72">
        <f t="shared" si="101"/>
        <v>11.18</v>
      </c>
      <c r="BX88" s="72">
        <f t="shared" si="102"/>
        <v>13.334051724137939</v>
      </c>
      <c r="BY88" s="72">
        <f t="shared" si="103"/>
        <v>16.2</v>
      </c>
      <c r="BZ88" s="17"/>
      <c r="CA88" s="17"/>
      <c r="CB88" s="43">
        <f t="shared" si="104"/>
        <v>15.730524254633377</v>
      </c>
      <c r="CC88" s="18">
        <f t="shared" si="105"/>
        <v>16.37323336457348</v>
      </c>
      <c r="CD88" s="43">
        <f t="shared" si="106"/>
        <v>17.015942474513583</v>
      </c>
      <c r="CE88" s="98">
        <f t="shared" ca="1" si="107"/>
        <v>-0.12950394398678663</v>
      </c>
      <c r="CF88" s="17"/>
      <c r="CG88" s="20">
        <f t="shared" si="108"/>
        <v>7.6733333333333356</v>
      </c>
      <c r="CH88" s="20">
        <f t="shared" si="109"/>
        <v>9.4266666666666676</v>
      </c>
      <c r="CI88" s="20">
        <f t="shared" si="110"/>
        <v>12.693333333333335</v>
      </c>
      <c r="CJ88" s="49">
        <f t="shared" si="111"/>
        <v>14.446666666666667</v>
      </c>
      <c r="CK88" s="20">
        <f t="shared" si="112"/>
        <v>17.713333333333335</v>
      </c>
      <c r="CL88" s="20">
        <f t="shared" si="113"/>
        <v>19.466666666666669</v>
      </c>
      <c r="CM88" s="20">
        <f t="shared" si="114"/>
        <v>22.733333333333334</v>
      </c>
      <c r="CN88" s="2" cm="1">
        <f t="array" aca="1" ref="CN88" ca="1">MAX(_xlfn._xlws.FILTER(CG88:CM88,CG88:CM88&lt;BG88))</f>
        <v>14.446666666666667</v>
      </c>
      <c r="CO88" s="2" cm="1">
        <f t="array" aca="1" ref="CO88" ca="1">MIN(_xlfn._xlws.FILTER($CG88:$CM88,$CG88:$CM88&gt;BG88))</f>
        <v>17.713333333333335</v>
      </c>
      <c r="CP88" s="19">
        <f t="shared" ca="1" si="124"/>
        <v>0.22611905860636838</v>
      </c>
      <c r="CQ88" s="23">
        <f t="shared" ca="1" si="125"/>
        <v>-0.11305952930318419</v>
      </c>
      <c r="CR88" s="23">
        <f t="shared" ca="1" si="126"/>
        <v>-7.5373019535456123E-2</v>
      </c>
      <c r="CS88" s="23">
        <f t="shared" ca="1" si="127"/>
        <v>-4.5223811721273675E-2</v>
      </c>
      <c r="CT88" s="23">
        <f t="shared" ca="1" si="128"/>
        <v>-2.5124339845152041E-2</v>
      </c>
      <c r="CU88" s="23">
        <f t="shared" ca="1" si="129"/>
        <v>-1.3301121094492259E-2</v>
      </c>
      <c r="CV88" s="23">
        <f t="shared" ca="1" si="130"/>
        <v>-6.852092685041466E-3</v>
      </c>
      <c r="CW88" s="23">
        <f t="shared" ca="1" si="131"/>
        <v>-3.478754747790283E-3</v>
      </c>
      <c r="CX88" s="24">
        <f t="shared" ca="1" si="132"/>
        <v>3.478754747790283E-3</v>
      </c>
      <c r="CY88" s="24">
        <f t="shared" ca="1" si="133"/>
        <v>6.852092685041466E-3</v>
      </c>
      <c r="CZ88" s="24">
        <f t="shared" ca="1" si="134"/>
        <v>1.3301121094492259E-2</v>
      </c>
      <c r="DA88" s="24">
        <f t="shared" ca="1" si="135"/>
        <v>2.5124339845152041E-2</v>
      </c>
      <c r="DB88" s="24">
        <f t="shared" ca="1" si="136"/>
        <v>4.5223811721273675E-2</v>
      </c>
      <c r="DC88" s="24">
        <f t="shared" ca="1" si="137"/>
        <v>7.5373019535456123E-2</v>
      </c>
      <c r="DD88" s="24">
        <f t="shared" ca="1" si="138"/>
        <v>0.11305952930318419</v>
      </c>
      <c r="DF88" s="19" cm="1">
        <f t="array" aca="1" ref="DF88" ca="1">MAX(_xlfn._xlws.FILTER(CQ88:DD88,CQ88:DD88&lt;BJ88))</f>
        <v>-1.3301121094492259E-2</v>
      </c>
      <c r="DG88" s="19" cm="1">
        <f t="array" aca="1" ref="DG88" ca="1">MIN(_xlfn._xlws.FILTER(CQ88:DD88,CQ88:DD88&gt;BJ88))</f>
        <v>-6.852092685041466E-3</v>
      </c>
      <c r="DH88" s="2" cm="1">
        <f t="array" aca="1" ref="DH88" ca="1">_FV(EE88,"Fechamento anterior",TRUE)</f>
        <v>16.48</v>
      </c>
      <c r="DI88" s="36">
        <f t="shared" ca="1" si="115"/>
        <v>0.27476927816028207</v>
      </c>
      <c r="DJ88" s="18">
        <f t="shared" ca="1" si="139"/>
        <v>16.260797524362768</v>
      </c>
      <c r="DK88" s="18">
        <f t="shared" ca="1" si="140"/>
        <v>16.367077512550516</v>
      </c>
      <c r="DL88" s="9"/>
      <c r="DM88" s="9"/>
      <c r="DN88" s="9"/>
      <c r="DO88" s="9"/>
      <c r="DP88" s="80">
        <v>4.9942438183519147E-3</v>
      </c>
      <c r="DQ88" s="80">
        <v>5.2800340915587027E-3</v>
      </c>
      <c r="DR88" s="80">
        <v>5.6963444718546767E-3</v>
      </c>
      <c r="DS88" s="80">
        <f t="shared" ca="1" si="116"/>
        <v>6.4490284094507926E-3</v>
      </c>
      <c r="DT88" s="47"/>
      <c r="DU88" s="43">
        <f t="shared" si="117"/>
        <v>0.32135455497005166</v>
      </c>
      <c r="DV88" s="83">
        <f t="shared" ca="1" si="118"/>
        <v>1.9140999999999999</v>
      </c>
      <c r="DW88" s="83">
        <f t="shared" ca="1" si="119"/>
        <v>2.6409000000000002</v>
      </c>
      <c r="DX88" s="83">
        <f t="shared" ca="1" si="120"/>
        <v>-0.72680000000000033</v>
      </c>
      <c r="DY88" s="67"/>
      <c r="DZ88" s="67"/>
      <c r="EA88" s="85"/>
      <c r="EB88" s="44">
        <v>19330100</v>
      </c>
      <c r="EC88" s="44" cm="1">
        <f t="array" aca="1" ref="EC88" ca="1">_FV(EE88,"Volume")</f>
        <v>29836900</v>
      </c>
      <c r="EE88" s="2" t="e" vm="88">
        <v>#VALUE!</v>
      </c>
      <c r="EG88" s="10" cm="1">
        <f t="array" aca="1" ref="EG88" ca="1">_FV(EE88,"Ações em circulação",TRUE)</f>
        <v>10592010000</v>
      </c>
      <c r="EH88" s="21">
        <f>VLOOKUP(BH88,Fundamentus!A:U,5,FALSE)</f>
        <v>0</v>
      </c>
      <c r="EI88" s="2" t="e">
        <f t="shared" ca="1" si="121"/>
        <v>#DIV/0!</v>
      </c>
      <c r="EJ88" s="20" t="e">
        <v>#DIV/0!</v>
      </c>
      <c r="EK88" s="20" t="e">
        <f t="shared" ca="1" si="122"/>
        <v>#DIV/0!</v>
      </c>
      <c r="EM88" s="40" t="str">
        <f>IF(VLOOKUP(BH88,Fundamentus!A:U,3,FALSE)&lt;15,"Bom",IF(VLOOKUP(BH88,Fundamentus!A:U,3,FALSE)&gt;15,"Ruim","n/a"))</f>
        <v>Bom</v>
      </c>
      <c r="EN88" s="36" t="str">
        <f>IF(VLOOKUP(BH88,Fundamentus!A:U,4,FALSE)&lt;1,"Baixo",IF(VLOOKUP(BH88,Fundamentus!A:U,4,FALSE)&lt;1.5,"Moderado",IF(VLOOKUP(BH88,Fundamentus!A:U,4,FALSE)&gt;1.5,"Alto","n/a")))</f>
        <v>Moderado</v>
      </c>
      <c r="EO88" s="20" t="str">
        <f>IF(VLOOKUP(BH88,Fundamentus!A:U,8,FALSE)&lt;0,"Risco elevado",IF(VLOOKUP(BH88,Fundamentus!A:U,8,FALSE)&lt;1,"Saudável",IF(VLOOKUP(BH88,Fundamentus!A:U,8,FALSE)&lt;3,"Estável",IF(VLOOKUP(BH88,Fundamentus!A:U,8,FALSE)&gt;3,"Alerta","n/a"))))</f>
        <v>Saudável</v>
      </c>
      <c r="EP88" s="36" t="str">
        <f t="shared" si="123"/>
        <v>Ruim</v>
      </c>
      <c r="EQ88" s="20" t="str">
        <f>IF(VLOOKUP(BH88,Fundamentus!A:U,12,FALSE)&lt;2,"Subvalorizada",IF(VLOOKUP(BH88,Fundamentus!A:U,12,FALSE)&lt;6,"Muita barata",IF(VLOOKUP(BH88,Fundamentus!A:U,12,FALSE)&lt;6,"Barata",IF(VLOOKUP(BH88,Fundamentus!A:U,12,FALSE)&lt;8,"Atrativa",IF(VLOOKUP(BH88,Fundamentus!A:U,12,FALSE)&gt;8,"Supervalorizada","n/a")))))</f>
        <v>Subvalorizada</v>
      </c>
      <c r="ES88" s="20" t="str">
        <f>IF(VLOOKUP(BH88,Fundamentus!A:U,17,FALSE)&lt;0.1,"Fraco retorno",IF(VLOOKUP(BH88,Fundamentus!A:U,17,FALSE)&gt;0.1,"Bom retorno","n/a"))</f>
        <v>Bom retorno</v>
      </c>
      <c r="ET88" s="20" t="str">
        <f>IF(VLOOKUP(BH88,Fundamentus!A:U,16,FALSE)&lt;0.1,"Ineficiente",IF(VLOOKUP(BH88,Fundamentus!A:U,16,FALSE)&gt;0.1,"Eficiente","n/a"))</f>
        <v>Ineficiente</v>
      </c>
      <c r="EU88" s="41" t="str">
        <f>IF(VLOOKUP(BH88,Fundamentus!A:U,16,FALSE)&lt;0.1,"Oper. Ineficiente",IF(VLOOKUP(BH88,Fundamentus!A:U,16,FALSE)&gt;0.1,"Oper.Eficiente","n/a"))</f>
        <v>Oper. Ineficiente</v>
      </c>
      <c r="EV88" s="42">
        <f>VLOOKUP(BH88,Fundamentus!A:U,14,FALSE)</f>
        <v>0</v>
      </c>
      <c r="EW88" s="20" t="str">
        <f>IF(VLOOKUP(BH88,Fundamentus!A:U,21,FALSE)&lt;0,"Negativo",IF(VLOOKUP(BH88,Fundamentus!A:U,21,FALSE)&lt;0.05,"Fraco",IF(VLOOKUP(BH88,Fundamentus!A:U,21,FALSE)&lt;0.1,"Bom",IF(VLOOKUP(BH88,Fundamentus!A:U,21,FALSE)&gt;0.1,"Muito bom","n/a"))))</f>
        <v>Negativo</v>
      </c>
      <c r="EY88" s="37" t="str">
        <f>IF(VLOOKUP(BH88,Fundamentus!A:U,15,FALSE)&gt;1,"Bom",IF(VLOOKUP(BH88,Fundamentus!A:U,15,FALSE)&lt;1,"Ruim","n/a"))</f>
        <v>Ruim</v>
      </c>
      <c r="EZ88" s="20" t="str">
        <f>IF(VLOOKUP(BH88,Fundamentus!A:U,20,FALSE)&lt;0.5,"Baixa",IF(VLOOKUP(BH88,Fundamentus!A:U,20,FALSE)&lt;1,"Moderada",IF(VLOOKUP(BH88,Fundamentus!A:U,20,FALSE)&lt;2,"Alerta",IF(VLOOKUP(BH88,Fundamentus!A:U,20,FALSE)&gt;2,"Alta","n/a"))))</f>
        <v>Baixa</v>
      </c>
      <c r="FA88" s="10">
        <v>2</v>
      </c>
    </row>
    <row r="89" spans="1:157" s="2" customFormat="1" ht="11.25" hidden="1" x14ac:dyDescent="0.2">
      <c r="A89" s="4">
        <v>29.94</v>
      </c>
      <c r="B89" s="4">
        <v>28.77</v>
      </c>
      <c r="C89" s="4">
        <v>31.33</v>
      </c>
      <c r="D89" s="4">
        <v>30.45</v>
      </c>
      <c r="E89" s="4">
        <v>30.39</v>
      </c>
      <c r="F89" s="4">
        <v>29.92</v>
      </c>
      <c r="G89" s="4">
        <v>29.63</v>
      </c>
      <c r="H89" s="4">
        <v>29.75</v>
      </c>
      <c r="I89" s="4">
        <v>30.89</v>
      </c>
      <c r="J89" s="4">
        <v>29.9</v>
      </c>
      <c r="K89" s="4">
        <v>30.7</v>
      </c>
      <c r="L89" s="4">
        <v>30.31</v>
      </c>
      <c r="M89" s="4">
        <v>30.21</v>
      </c>
      <c r="N89" s="4">
        <v>30.76</v>
      </c>
      <c r="O89" s="4">
        <v>31.18</v>
      </c>
      <c r="P89" s="4">
        <v>32.75</v>
      </c>
      <c r="Q89" s="4">
        <v>34.14</v>
      </c>
      <c r="R89" s="4">
        <v>34.06</v>
      </c>
      <c r="S89" s="4">
        <v>34.54</v>
      </c>
      <c r="T89" s="4">
        <v>34.909999999999997</v>
      </c>
      <c r="U89" s="4">
        <v>35.57</v>
      </c>
      <c r="V89" s="4">
        <v>36.450000000000003</v>
      </c>
      <c r="W89" s="4">
        <v>37.5</v>
      </c>
      <c r="X89" s="4">
        <v>36.26</v>
      </c>
      <c r="Y89" s="4">
        <v>37.22</v>
      </c>
      <c r="Z89" s="4">
        <v>38.340000000000003</v>
      </c>
      <c r="AA89" s="4">
        <v>38</v>
      </c>
      <c r="AB89" s="4">
        <v>38.58</v>
      </c>
      <c r="AC89" s="4">
        <v>38.58</v>
      </c>
      <c r="AD89" s="4">
        <v>38.549999999999997</v>
      </c>
      <c r="AE89" s="4">
        <v>37.840000000000003</v>
      </c>
      <c r="AF89" s="4">
        <v>39.200000000000003</v>
      </c>
      <c r="AG89" s="4">
        <v>38.65</v>
      </c>
      <c r="AH89" s="4">
        <v>37.14</v>
      </c>
      <c r="AI89" s="4">
        <v>36.57</v>
      </c>
      <c r="AJ89" s="4">
        <v>34.770000000000003</v>
      </c>
      <c r="AK89" s="4">
        <v>36.42</v>
      </c>
      <c r="AL89" s="4">
        <v>36.770000000000003</v>
      </c>
      <c r="AM89" s="4">
        <v>38</v>
      </c>
      <c r="AN89" s="4">
        <v>39.99</v>
      </c>
      <c r="AO89" s="4">
        <v>40.75</v>
      </c>
      <c r="AP89" s="4">
        <v>39.29</v>
      </c>
      <c r="AQ89" s="4">
        <v>38.840000000000003</v>
      </c>
      <c r="AR89" s="4">
        <v>38.020000000000003</v>
      </c>
      <c r="AS89" s="4">
        <v>37.67</v>
      </c>
      <c r="AT89" s="4">
        <v>38.950000000000003</v>
      </c>
      <c r="AU89" s="4">
        <v>41.31</v>
      </c>
      <c r="AV89" s="4">
        <v>40.880000000000003</v>
      </c>
      <c r="AW89" s="4">
        <v>40.4</v>
      </c>
      <c r="AX89" s="4">
        <v>38.99</v>
      </c>
      <c r="AY89" s="12">
        <v>40.5</v>
      </c>
      <c r="AZ89" s="12">
        <v>42.39</v>
      </c>
      <c r="BA89" s="12">
        <v>43.99</v>
      </c>
      <c r="BB89" s="18">
        <v>44.15</v>
      </c>
      <c r="BC89" s="63">
        <v>47.59</v>
      </c>
      <c r="BD89" s="63">
        <v>49.5</v>
      </c>
      <c r="BE89" s="63">
        <v>52.07</v>
      </c>
      <c r="BF89" s="63">
        <v>52.51</v>
      </c>
      <c r="BG89" s="91" cm="1">
        <f t="array" aca="1" ref="BG89" ca="1">_FV(EE89,"Preço")</f>
        <v>52.99</v>
      </c>
      <c r="BH89" s="95" t="s">
        <v>16</v>
      </c>
      <c r="BI89" s="32" cm="1">
        <f t="array" aca="1" ref="BI89" ca="1">_FV(EE89,"Beta")</f>
        <v>0.82589999999999997</v>
      </c>
      <c r="BJ89" s="96" cm="1">
        <f t="array" aca="1" ref="BJ89" ca="1">_FV(EE89,"Variação (%)",TRUE)</f>
        <v>-7.4919999999999995E-3</v>
      </c>
      <c r="BK89" s="72"/>
      <c r="BL89" s="72"/>
      <c r="BN89" s="32"/>
      <c r="BO89" s="20" cm="1">
        <f t="array" aca="1" ref="BO89" ca="1">_FV(EE89,"Baixo")</f>
        <v>52.46</v>
      </c>
      <c r="BP89" s="20" cm="1">
        <f t="array" aca="1" ref="BP89" ca="1">_FV(EE89,"Alto")</f>
        <v>53.36</v>
      </c>
      <c r="BQ89" s="32"/>
      <c r="BR89" s="74">
        <f ca="1">SQRT(22.5*(BG89/VLOOKUP(BH89,Fundamentus!A:U,3,FALSE))*(BG89/VLOOKUP(BH89,Fundamentus!A:U,4,FALSE)))</f>
        <v>46.298756062853151</v>
      </c>
      <c r="BT89" s="73">
        <f t="shared" ca="1" si="99"/>
        <v>9.1411159779090454E-3</v>
      </c>
      <c r="BU89" s="36">
        <f t="shared" si="100"/>
        <v>0.73914495657982626</v>
      </c>
      <c r="BV89" s="8"/>
      <c r="BW89" s="72">
        <f t="shared" si="101"/>
        <v>28.77</v>
      </c>
      <c r="BX89" s="72">
        <f t="shared" si="102"/>
        <v>36.943620689655191</v>
      </c>
      <c r="BY89" s="72">
        <f t="shared" si="103"/>
        <v>52.51</v>
      </c>
      <c r="BZ89" s="17"/>
      <c r="CA89" s="17"/>
      <c r="CB89" s="43">
        <f t="shared" si="104"/>
        <v>50.648505189584206</v>
      </c>
      <c r="CC89" s="18">
        <f t="shared" si="105"/>
        <v>54.641733833175749</v>
      </c>
      <c r="CD89" s="43">
        <f t="shared" si="106"/>
        <v>58.634962476767292</v>
      </c>
      <c r="CE89" s="98">
        <f t="shared" ca="1" si="107"/>
        <v>-0.4136336735504742</v>
      </c>
      <c r="CF89" s="17"/>
      <c r="CG89" s="20">
        <f t="shared" si="108"/>
        <v>12.943333333333332</v>
      </c>
      <c r="CH89" s="20">
        <f t="shared" si="109"/>
        <v>20.856666666666666</v>
      </c>
      <c r="CI89" s="20">
        <f t="shared" si="110"/>
        <v>36.68333333333333</v>
      </c>
      <c r="CJ89" s="49">
        <f t="shared" si="111"/>
        <v>44.596666666666664</v>
      </c>
      <c r="CK89" s="20">
        <f t="shared" si="112"/>
        <v>60.423333333333332</v>
      </c>
      <c r="CL89" s="20">
        <f t="shared" si="113"/>
        <v>68.336666666666659</v>
      </c>
      <c r="CM89" s="20">
        <f t="shared" si="114"/>
        <v>84.163333333333327</v>
      </c>
      <c r="CN89" s="2" cm="1">
        <f t="array" aca="1" ref="CN89" ca="1">MAX(_xlfn._xlws.FILTER(CG89:CM89,CG89:CM89&lt;BG89))</f>
        <v>44.596666666666664</v>
      </c>
      <c r="CO89" s="2" cm="1">
        <f t="array" aca="1" ref="CO89" ca="1">MIN(_xlfn._xlws.FILTER($CG89:$CM89,$CG89:$CM89&gt;BG89))</f>
        <v>60.423333333333332</v>
      </c>
      <c r="CP89" s="19">
        <f t="shared" ca="1" si="124"/>
        <v>0.35488452051722863</v>
      </c>
      <c r="CQ89" s="23">
        <f t="shared" ca="1" si="125"/>
        <v>-0.17744226025861431</v>
      </c>
      <c r="CR89" s="23">
        <f t="shared" ca="1" si="126"/>
        <v>-0.11829484017240954</v>
      </c>
      <c r="CS89" s="23">
        <f t="shared" ca="1" si="127"/>
        <v>-7.0976904103445732E-2</v>
      </c>
      <c r="CT89" s="23">
        <f t="shared" ca="1" si="128"/>
        <v>-3.9431613390803179E-2</v>
      </c>
      <c r="CU89" s="23">
        <f t="shared" ca="1" si="129"/>
        <v>-2.0875560030425212E-2</v>
      </c>
      <c r="CV89" s="23">
        <f t="shared" ca="1" si="130"/>
        <v>-1.0754076379309958E-2</v>
      </c>
      <c r="CW89" s="23">
        <f t="shared" ca="1" si="131"/>
        <v>-5.4597618541112093E-3</v>
      </c>
      <c r="CX89" s="24">
        <f t="shared" ca="1" si="132"/>
        <v>5.4597618541112093E-3</v>
      </c>
      <c r="CY89" s="24">
        <f t="shared" ca="1" si="133"/>
        <v>1.0754076379309958E-2</v>
      </c>
      <c r="CZ89" s="24">
        <f t="shared" ca="1" si="134"/>
        <v>2.0875560030425212E-2</v>
      </c>
      <c r="DA89" s="24">
        <f t="shared" ca="1" si="135"/>
        <v>3.9431613390803179E-2</v>
      </c>
      <c r="DB89" s="24">
        <f t="shared" ca="1" si="136"/>
        <v>7.0976904103445732E-2</v>
      </c>
      <c r="DC89" s="24">
        <f t="shared" ca="1" si="137"/>
        <v>0.11829484017240954</v>
      </c>
      <c r="DD89" s="24">
        <f t="shared" ca="1" si="138"/>
        <v>0.17744226025861431</v>
      </c>
      <c r="DF89" s="19" cm="1">
        <f t="array" aca="1" ref="DF89" ca="1">MAX(_xlfn._xlws.FILTER(CQ89:DD89,CQ89:DD89&lt;BJ89))</f>
        <v>-1.0754076379309958E-2</v>
      </c>
      <c r="DG89" s="19" cm="1">
        <f t="array" aca="1" ref="DG89" ca="1">MIN(_xlfn._xlws.FILTER(CQ89:DD89,CQ89:DD89&gt;BJ89))</f>
        <v>-5.4597618541112093E-3</v>
      </c>
      <c r="DH89" s="2" cm="1">
        <f t="array" aca="1" ref="DH89" ca="1">_FV(EE89,"Fechamento anterior",TRUE)</f>
        <v>53.39</v>
      </c>
      <c r="DI89" s="36">
        <f t="shared" ca="1" si="115"/>
        <v>0.61613956933869141</v>
      </c>
      <c r="DJ89" s="18">
        <f t="shared" ca="1" si="139"/>
        <v>52.815839862108639</v>
      </c>
      <c r="DK89" s="18">
        <f t="shared" ca="1" si="140"/>
        <v>53.098503314609005</v>
      </c>
      <c r="DL89" s="9"/>
      <c r="DM89" s="9"/>
      <c r="DN89" s="9"/>
      <c r="DO89" s="9"/>
      <c r="DP89" s="80">
        <v>8.2361438157854475E-3</v>
      </c>
      <c r="DQ89" s="80">
        <v>9.5799354862092668E-3</v>
      </c>
      <c r="DR89" s="80">
        <v>1.0467369991354416E-2</v>
      </c>
      <c r="DS89" s="80">
        <f t="shared" ca="1" si="116"/>
        <v>5.2943145251987487E-3</v>
      </c>
      <c r="DT89" s="47"/>
      <c r="DU89" s="43">
        <f t="shared" si="117"/>
        <v>1.9966143217957726</v>
      </c>
      <c r="DV89" s="83">
        <f t="shared" ca="1" si="118"/>
        <v>1.252</v>
      </c>
      <c r="DW89" s="83">
        <f t="shared" ca="1" si="119"/>
        <v>1.5750999999999999</v>
      </c>
      <c r="DX89" s="83">
        <f t="shared" ca="1" si="120"/>
        <v>-0.32309999999999994</v>
      </c>
      <c r="DY89" s="67"/>
      <c r="DZ89" s="67"/>
      <c r="EA89" s="85"/>
      <c r="EB89" s="44">
        <v>1739800</v>
      </c>
      <c r="EC89" s="44" cm="1">
        <f t="array" aca="1" ref="EC89" ca="1">_FV(EE89,"Volume")</f>
        <v>1339100</v>
      </c>
      <c r="EE89" s="2" t="e" vm="89">
        <v>#VALUE!</v>
      </c>
      <c r="EG89" s="10" cm="1">
        <f t="array" aca="1" ref="EG89" ca="1">_FV(EE89,"Ações em circulação",TRUE)</f>
        <v>646586100</v>
      </c>
      <c r="EH89" s="21">
        <f>VLOOKUP(BH89,Fundamentus!A:U,5,FALSE)</f>
        <v>0.93700000000000006</v>
      </c>
      <c r="EI89" s="2">
        <f t="shared" ca="1" si="121"/>
        <v>36566272613.660614</v>
      </c>
      <c r="EJ89" s="20">
        <v>2869815474.9105654</v>
      </c>
      <c r="EK89" s="20">
        <f t="shared" ca="1" si="122"/>
        <v>2896048791.0019207</v>
      </c>
      <c r="EM89" s="40" t="str">
        <f>IF(VLOOKUP(BH89,Fundamentus!A:U,3,FALSE)&lt;15,"Bom",IF(VLOOKUP(BH89,Fundamentus!A:U,3,FALSE)&gt;15,"Ruim","n/a"))</f>
        <v>Bom</v>
      </c>
      <c r="EN89" s="36" t="str">
        <f>IF(VLOOKUP(BH89,Fundamentus!A:U,4,FALSE)&lt;1,"Baixo",IF(VLOOKUP(BH89,Fundamentus!A:U,4,FALSE)&lt;1.5,"Moderado",IF(VLOOKUP(BH89,Fundamentus!A:U,4,FALSE)&gt;1.5,"Alto","n/a")))</f>
        <v>Alto</v>
      </c>
      <c r="EO89" s="20" t="str">
        <f>IF(VLOOKUP(BH89,Fundamentus!A:U,8,FALSE)&lt;0,"Risco elevado",IF(VLOOKUP(BH89,Fundamentus!A:U,8,FALSE)&lt;1,"Saudável",IF(VLOOKUP(BH89,Fundamentus!A:U,8,FALSE)&lt;3,"Estável",IF(VLOOKUP(BH89,Fundamentus!A:U,8,FALSE)&gt;3,"Alerta","n/a"))))</f>
        <v>Alerta</v>
      </c>
      <c r="EP89" s="36" t="str">
        <f t="shared" si="123"/>
        <v>Ruim</v>
      </c>
      <c r="EQ89" s="20" t="str">
        <f>IF(VLOOKUP(BH89,Fundamentus!A:U,12,FALSE)&lt;2,"Subvalorizada",IF(VLOOKUP(BH89,Fundamentus!A:U,12,FALSE)&lt;6,"Muita barata",IF(VLOOKUP(BH89,Fundamentus!A:U,12,FALSE)&lt;6,"Barata",IF(VLOOKUP(BH89,Fundamentus!A:U,12,FALSE)&lt;8,"Atrativa",IF(VLOOKUP(BH89,Fundamentus!A:U,12,FALSE)&gt;8,"Supervalorizada","n/a")))))</f>
        <v>Subvalorizada</v>
      </c>
      <c r="ES89" s="20" t="str">
        <f>IF(VLOOKUP(BH89,Fundamentus!A:U,17,FALSE)&lt;0.1,"Fraco retorno",IF(VLOOKUP(BH89,Fundamentus!A:U,17,FALSE)&gt;0.1,"Bom retorno","n/a"))</f>
        <v>Bom retorno</v>
      </c>
      <c r="ET89" s="20" t="str">
        <f>IF(VLOOKUP(BH89,Fundamentus!A:U,16,FALSE)&lt;0.1,"Ineficiente",IF(VLOOKUP(BH89,Fundamentus!A:U,16,FALSE)&gt;0.1,"Eficiente","n/a"))</f>
        <v>Eficiente</v>
      </c>
      <c r="EU89" s="41" t="str">
        <f>IF(VLOOKUP(BH89,Fundamentus!A:U,16,FALSE)&lt;0.1,"Oper. Ineficiente",IF(VLOOKUP(BH89,Fundamentus!A:U,16,FALSE)&gt;0.1,"Oper.Eficiente","n/a"))</f>
        <v>Oper.Eficiente</v>
      </c>
      <c r="EV89" s="42">
        <f>VLOOKUP(BH89,Fundamentus!A:U,14,FALSE)</f>
        <v>7.9200000000000007E-2</v>
      </c>
      <c r="EW89" s="20" t="str">
        <f>IF(VLOOKUP(BH89,Fundamentus!A:U,21,FALSE)&lt;0,"Negativo",IF(VLOOKUP(BH89,Fundamentus!A:U,21,FALSE)&lt;0.05,"Fraco",IF(VLOOKUP(BH89,Fundamentus!A:U,21,FALSE)&lt;0.1,"Bom",IF(VLOOKUP(BH89,Fundamentus!A:U,21,FALSE)&gt;0.1,"Muito bom","n/a"))))</f>
        <v>Muito bom</v>
      </c>
      <c r="EY89" s="37" t="str">
        <f>IF(VLOOKUP(BH89,Fundamentus!A:U,15,FALSE)&gt;1,"Bom",IF(VLOOKUP(BH89,Fundamentus!A:U,15,FALSE)&lt;1,"Ruim","n/a"))</f>
        <v>Bom</v>
      </c>
      <c r="EZ89" s="20" t="str">
        <f>IF(VLOOKUP(BH89,Fundamentus!A:U,20,FALSE)&lt;0.5,"Baixa",IF(VLOOKUP(BH89,Fundamentus!A:U,20,FALSE)&lt;1,"Moderada",IF(VLOOKUP(BH89,Fundamentus!A:U,20,FALSE)&lt;2,"Alerta",IF(VLOOKUP(BH89,Fundamentus!A:U,20,FALSE)&gt;2,"Alta","n/a"))))</f>
        <v>Baixa</v>
      </c>
      <c r="FA89" s="10">
        <v>4</v>
      </c>
    </row>
    <row r="90" spans="1:157" s="2" customFormat="1" ht="11.25" hidden="1" x14ac:dyDescent="0.2">
      <c r="A90" s="4">
        <v>1.1499999999999999</v>
      </c>
      <c r="B90" s="4">
        <v>1.08</v>
      </c>
      <c r="C90" s="4">
        <v>1.05</v>
      </c>
      <c r="D90" s="4">
        <v>0.99</v>
      </c>
      <c r="E90" s="4">
        <v>1.01</v>
      </c>
      <c r="F90" s="4">
        <v>0.99</v>
      </c>
      <c r="G90" s="4">
        <v>0.96</v>
      </c>
      <c r="H90" s="4">
        <v>0.91</v>
      </c>
      <c r="I90" s="4">
        <v>0.91</v>
      </c>
      <c r="J90" s="4">
        <v>0.91</v>
      </c>
      <c r="K90" s="4">
        <v>0.91</v>
      </c>
      <c r="L90" s="4">
        <v>0.87</v>
      </c>
      <c r="M90" s="4">
        <v>0.88</v>
      </c>
      <c r="N90" s="4">
        <v>0.87</v>
      </c>
      <c r="O90" s="4">
        <v>0.82</v>
      </c>
      <c r="P90" s="4">
        <v>0.98</v>
      </c>
      <c r="Q90" s="4">
        <v>1.01</v>
      </c>
      <c r="R90" s="4">
        <v>0.99</v>
      </c>
      <c r="S90" s="4">
        <v>1.07</v>
      </c>
      <c r="T90" s="4">
        <v>1.02</v>
      </c>
      <c r="U90" s="4">
        <v>0.96</v>
      </c>
      <c r="V90" s="4">
        <v>1.1100000000000001</v>
      </c>
      <c r="W90" s="4">
        <v>1.05</v>
      </c>
      <c r="X90" s="4">
        <v>1.1299999999999999</v>
      </c>
      <c r="Y90" s="4">
        <v>1.1599999999999999</v>
      </c>
      <c r="Z90" s="4">
        <v>1.1499999999999999</v>
      </c>
      <c r="AA90" s="4">
        <v>1.05</v>
      </c>
      <c r="AB90" s="4">
        <v>1.1000000000000001</v>
      </c>
      <c r="AC90" s="4">
        <v>0.99</v>
      </c>
      <c r="AD90" s="4">
        <v>0.99</v>
      </c>
      <c r="AE90" s="4">
        <v>0.98</v>
      </c>
      <c r="AF90" s="4">
        <v>0.93</v>
      </c>
      <c r="AG90" s="4">
        <v>0.91</v>
      </c>
      <c r="AH90" s="4">
        <v>0.97</v>
      </c>
      <c r="AI90" s="4">
        <v>0.93</v>
      </c>
      <c r="AJ90" s="4">
        <v>0.93</v>
      </c>
      <c r="AK90" s="4">
        <v>0.94</v>
      </c>
      <c r="AL90" s="4">
        <v>0.91</v>
      </c>
      <c r="AM90" s="4">
        <v>0.88</v>
      </c>
      <c r="AN90" s="4">
        <v>0.93</v>
      </c>
      <c r="AO90" s="4">
        <v>1.02</v>
      </c>
      <c r="AP90" s="4">
        <v>0.96</v>
      </c>
      <c r="AQ90" s="4">
        <v>0.84</v>
      </c>
      <c r="AR90" s="4">
        <v>0.83</v>
      </c>
      <c r="AS90" s="4">
        <v>0.88</v>
      </c>
      <c r="AT90" s="4">
        <v>0.87</v>
      </c>
      <c r="AU90" s="4">
        <v>0.96</v>
      </c>
      <c r="AV90" s="4">
        <v>1.01</v>
      </c>
      <c r="AW90" s="4">
        <v>0.93</v>
      </c>
      <c r="AX90" s="4">
        <v>0.86</v>
      </c>
      <c r="AY90" s="12">
        <v>0.87</v>
      </c>
      <c r="AZ90" s="12">
        <v>0.83</v>
      </c>
      <c r="BA90" s="12">
        <v>0.82</v>
      </c>
      <c r="BB90" s="18">
        <v>0.83</v>
      </c>
      <c r="BC90" s="63">
        <v>0.86</v>
      </c>
      <c r="BD90" s="63">
        <v>0.84</v>
      </c>
      <c r="BE90" s="63">
        <v>0.84</v>
      </c>
      <c r="BF90" s="63">
        <v>1.26</v>
      </c>
      <c r="BG90" s="91" cm="1">
        <f t="array" aca="1" ref="BG90" ca="1">_FV(EE90,"Preço")</f>
        <v>1.1200000000000001</v>
      </c>
      <c r="BH90" s="93" t="s">
        <v>88</v>
      </c>
      <c r="BI90" s="32" cm="1">
        <f t="array" aca="1" ref="BI90" ca="1">_FV(EE90,"Beta")</f>
        <v>1.3224</v>
      </c>
      <c r="BJ90" s="96" cm="1">
        <f t="array" aca="1" ref="BJ90" ca="1">_FV(EE90,"Variação (%)",TRUE)</f>
        <v>-4.2735000000000002E-2</v>
      </c>
      <c r="BK90" s="49"/>
      <c r="BL90" s="49"/>
      <c r="BN90" s="32"/>
      <c r="BO90" s="20" cm="1">
        <f t="array" aca="1" ref="BO90" ca="1">_FV(EE90,"Baixo")</f>
        <v>1.1200000000000001</v>
      </c>
      <c r="BP90" s="20" cm="1">
        <f t="array" aca="1" ref="BP90" ca="1">_FV(EE90,"Alto")</f>
        <v>1.1499999999999999</v>
      </c>
      <c r="BQ90" s="32"/>
      <c r="BR90" s="74" t="e">
        <f ca="1">SQRT(22.5*(BG90/VLOOKUP(BH90,Fundamentus!A:U,3,FALSE))*(BG90/VLOOKUP(BH90,Fundamentus!A:U,4,FALSE)))</f>
        <v>#NUM!</v>
      </c>
      <c r="BT90" s="73">
        <f t="shared" ca="1" si="99"/>
        <v>-0.11111111111111104</v>
      </c>
      <c r="BU90" s="36">
        <f t="shared" si="100"/>
        <v>-0.26956521739130435</v>
      </c>
      <c r="BV90" s="8"/>
      <c r="BW90" s="72">
        <f t="shared" si="101"/>
        <v>0.82</v>
      </c>
      <c r="BX90" s="72">
        <f t="shared" si="102"/>
        <v>0.96017241379310325</v>
      </c>
      <c r="BY90" s="72">
        <f t="shared" si="103"/>
        <v>1.26</v>
      </c>
      <c r="BZ90" s="17"/>
      <c r="CA90" s="17"/>
      <c r="CB90" s="43">
        <f t="shared" si="104"/>
        <v>0.8771344601824842</v>
      </c>
      <c r="CC90" s="18">
        <f t="shared" si="105"/>
        <v>1.2354639175258626</v>
      </c>
      <c r="CD90" s="43">
        <f t="shared" si="106"/>
        <v>1.593793374869241</v>
      </c>
      <c r="CE90" s="98">
        <f t="shared" ca="1" si="107"/>
        <v>-0.32222837157151785</v>
      </c>
      <c r="CF90" s="17"/>
      <c r="CG90" s="20">
        <f t="shared" si="108"/>
        <v>0.52666666666666651</v>
      </c>
      <c r="CH90" s="20">
        <f t="shared" si="109"/>
        <v>0.67333333333333323</v>
      </c>
      <c r="CI90" s="20">
        <f t="shared" si="110"/>
        <v>0.96666666666666656</v>
      </c>
      <c r="CJ90" s="49">
        <f t="shared" si="111"/>
        <v>1.1133333333333333</v>
      </c>
      <c r="CK90" s="20">
        <f t="shared" si="112"/>
        <v>1.4066666666666667</v>
      </c>
      <c r="CL90" s="20">
        <f t="shared" si="113"/>
        <v>1.5533333333333332</v>
      </c>
      <c r="CM90" s="20">
        <f t="shared" si="114"/>
        <v>1.8466666666666667</v>
      </c>
      <c r="CN90" s="2" cm="1">
        <f t="array" aca="1" ref="CN90" ca="1">MAX(_xlfn._xlws.FILTER(CG90:CM90,CG90:CM90&lt;BG90))</f>
        <v>1.1133333333333333</v>
      </c>
      <c r="CO90" s="2" cm="1">
        <f t="array" aca="1" ref="CO90" ca="1">MIN(_xlfn._xlws.FILTER($CG90:$CM90,$CG90:$CM90&gt;BG90))</f>
        <v>1.4066666666666667</v>
      </c>
      <c r="CP90" s="19">
        <f t="shared" ca="1" si="124"/>
        <v>0.26347305389221565</v>
      </c>
      <c r="CQ90" s="23">
        <f t="shared" ca="1" si="125"/>
        <v>-0.13173652694610782</v>
      </c>
      <c r="CR90" s="23">
        <f t="shared" ca="1" si="126"/>
        <v>-8.782435129740522E-2</v>
      </c>
      <c r="CS90" s="23">
        <f t="shared" ca="1" si="127"/>
        <v>-5.2694610778443132E-2</v>
      </c>
      <c r="CT90" s="23">
        <f t="shared" ca="1" si="128"/>
        <v>-2.927478376580174E-2</v>
      </c>
      <c r="CU90" s="23">
        <f t="shared" ca="1" si="129"/>
        <v>-1.5498414934836214E-2</v>
      </c>
      <c r="CV90" s="23">
        <f t="shared" ca="1" si="130"/>
        <v>-7.9840319361277473E-3</v>
      </c>
      <c r="CW90" s="23">
        <f t="shared" ca="1" si="131"/>
        <v>-4.0534315983417795E-3</v>
      </c>
      <c r="CX90" s="24">
        <f t="shared" ca="1" si="132"/>
        <v>4.0534315983417795E-3</v>
      </c>
      <c r="CY90" s="24">
        <f t="shared" ca="1" si="133"/>
        <v>7.9840319361277473E-3</v>
      </c>
      <c r="CZ90" s="24">
        <f t="shared" ca="1" si="134"/>
        <v>1.5498414934836214E-2</v>
      </c>
      <c r="DA90" s="24">
        <f t="shared" ca="1" si="135"/>
        <v>2.927478376580174E-2</v>
      </c>
      <c r="DB90" s="24">
        <f t="shared" ca="1" si="136"/>
        <v>5.2694610778443132E-2</v>
      </c>
      <c r="DC90" s="24">
        <f t="shared" ca="1" si="137"/>
        <v>8.782435129740522E-2</v>
      </c>
      <c r="DD90" s="24">
        <f t="shared" ca="1" si="138"/>
        <v>0.13173652694610782</v>
      </c>
      <c r="DF90" s="19" cm="1">
        <f t="array" aca="1" ref="DF90" ca="1">MAX(_xlfn._xlws.FILTER(CQ90:DD90,CQ90:DD90&lt;BJ90))</f>
        <v>-5.2694610778443132E-2</v>
      </c>
      <c r="DG90" s="19" cm="1">
        <f t="array" aca="1" ref="DG90" ca="1">MIN(_xlfn._xlws.FILTER(CQ90:DD90,CQ90:DD90&gt;BJ90))</f>
        <v>-2.927478376580174E-2</v>
      </c>
      <c r="DH90" s="2" cm="1">
        <f t="array" aca="1" ref="DH90" ca="1">_FV(EE90,"Fechamento anterior",TRUE)</f>
        <v>1.17</v>
      </c>
      <c r="DI90" s="36">
        <f t="shared" ca="1" si="115"/>
        <v>0.42526223776224414</v>
      </c>
      <c r="DJ90" s="18">
        <f t="shared" ca="1" si="139"/>
        <v>1.1083473053892214</v>
      </c>
      <c r="DK90" s="18">
        <f t="shared" ca="1" si="140"/>
        <v>1.135748502994012</v>
      </c>
      <c r="DL90" s="9"/>
      <c r="DM90" s="9"/>
      <c r="DN90" s="9"/>
      <c r="DO90" s="9"/>
      <c r="DP90" s="79">
        <v>1.6603165752873034E-2</v>
      </c>
      <c r="DQ90" s="79">
        <v>1.6603165752873034E-2</v>
      </c>
      <c r="DR90" s="79">
        <v>2.1190230478156182E-2</v>
      </c>
      <c r="DS90" s="79">
        <f t="shared" ca="1" si="116"/>
        <v>2.3419827012641392E-2</v>
      </c>
      <c r="DT90" s="47"/>
      <c r="DU90" s="43">
        <f t="shared" si="117"/>
        <v>0.17916472867168923</v>
      </c>
      <c r="DV90" s="83">
        <f t="shared" ca="1" si="118"/>
        <v>1.7484999999999999</v>
      </c>
      <c r="DW90" s="83">
        <f t="shared" ca="1" si="119"/>
        <v>5.5959000000000003</v>
      </c>
      <c r="DX90" s="83">
        <f t="shared" ca="1" si="120"/>
        <v>-3.8474000000000004</v>
      </c>
      <c r="DY90" s="67"/>
      <c r="DZ90" s="67"/>
      <c r="EA90" s="85"/>
      <c r="EB90" s="44">
        <v>169000</v>
      </c>
      <c r="EC90" s="44" cm="1">
        <f t="array" aca="1" ref="EC90" ca="1">_FV(EE90,"Volume")</f>
        <v>89000</v>
      </c>
      <c r="EE90" s="2" t="e" vm="90">
        <v>#VALUE!</v>
      </c>
      <c r="EG90" s="10" cm="1">
        <f t="array" aca="1" ref="EG90" ca="1">_FV(EE90,"Ações em circulação",TRUE)</f>
        <v>124061300</v>
      </c>
      <c r="EH90" s="21">
        <f>VLOOKUP(BH90,Fundamentus!A:U,5,FALSE)</f>
        <v>1.6339999999999999</v>
      </c>
      <c r="EI90" s="2">
        <f t="shared" ca="1" si="121"/>
        <v>85035897.18482253</v>
      </c>
      <c r="EJ90" s="20">
        <v>-35845819.509547129</v>
      </c>
      <c r="EK90" s="20">
        <f t="shared" ca="1" si="122"/>
        <v>-31862950.675152998</v>
      </c>
      <c r="EM90" s="40" t="str">
        <f>IF(VLOOKUP(BH90,Fundamentus!A:U,3,FALSE)&lt;15,"Bom",IF(VLOOKUP(BH90,Fundamentus!A:U,3,FALSE)&gt;15,"Ruim","n/a"))</f>
        <v>Bom</v>
      </c>
      <c r="EN90" s="36" t="str">
        <f>IF(VLOOKUP(BH90,Fundamentus!A:U,4,FALSE)&lt;1,"Baixo",IF(VLOOKUP(BH90,Fundamentus!A:U,4,FALSE)&lt;1.5,"Moderado",IF(VLOOKUP(BH90,Fundamentus!A:U,4,FALSE)&gt;1.5,"Alto","n/a")))</f>
        <v>Baixo</v>
      </c>
      <c r="EO90" s="20" t="str">
        <f>IF(VLOOKUP(BH90,Fundamentus!A:U,8,FALSE)&lt;0,"Risco elevado",IF(VLOOKUP(BH90,Fundamentus!A:U,8,FALSE)&lt;1,"Saudável",IF(VLOOKUP(BH90,Fundamentus!A:U,8,FALSE)&lt;3,"Estável",IF(VLOOKUP(BH90,Fundamentus!A:U,8,FALSE)&gt;3,"Alerta","n/a"))))</f>
        <v>Risco elevado</v>
      </c>
      <c r="EP90" s="36" t="str">
        <f t="shared" si="123"/>
        <v>Bom</v>
      </c>
      <c r="EQ90" s="20" t="str">
        <f>IF(VLOOKUP(BH90,Fundamentus!A:U,12,FALSE)&lt;2,"Subvalorizada",IF(VLOOKUP(BH90,Fundamentus!A:U,12,FALSE)&lt;6,"Muita barata",IF(VLOOKUP(BH90,Fundamentus!A:U,12,FALSE)&lt;6,"Barata",IF(VLOOKUP(BH90,Fundamentus!A:U,12,FALSE)&lt;8,"Atrativa",IF(VLOOKUP(BH90,Fundamentus!A:U,12,FALSE)&gt;8,"Supervalorizada","n/a")))))</f>
        <v>Supervalorizada</v>
      </c>
      <c r="ES90" s="20" t="str">
        <f>IF(VLOOKUP(BH90,Fundamentus!A:U,17,FALSE)&lt;0.1,"Fraco retorno",IF(VLOOKUP(BH90,Fundamentus!A:U,17,FALSE)&gt;0.1,"Bom retorno","n/a"))</f>
        <v>Fraco retorno</v>
      </c>
      <c r="ET90" s="20" t="str">
        <f>IF(VLOOKUP(BH90,Fundamentus!A:U,16,FALSE)&lt;0.1,"Ineficiente",IF(VLOOKUP(BH90,Fundamentus!A:U,16,FALSE)&gt;0.1,"Eficiente","n/a"))</f>
        <v>Ineficiente</v>
      </c>
      <c r="EU90" s="41" t="str">
        <f>IF(VLOOKUP(BH90,Fundamentus!A:U,16,FALSE)&lt;0.1,"Oper. Ineficiente",IF(VLOOKUP(BH90,Fundamentus!A:U,16,FALSE)&gt;0.1,"Oper.Eficiente","n/a"))</f>
        <v>Oper. Ineficiente</v>
      </c>
      <c r="EV90" s="42">
        <f>VLOOKUP(BH90,Fundamentus!A:U,14,FALSE)</f>
        <v>-0.37469999999999998</v>
      </c>
      <c r="EW90" s="20" t="str">
        <f>IF(VLOOKUP(BH90,Fundamentus!A:U,21,FALSE)&lt;0,"Negativo",IF(VLOOKUP(BH90,Fundamentus!A:U,21,FALSE)&lt;0.05,"Fraco",IF(VLOOKUP(BH90,Fundamentus!A:U,21,FALSE)&lt;0.1,"Bom",IF(VLOOKUP(BH90,Fundamentus!A:U,21,FALSE)&gt;0.1,"Muito bom","n/a"))))</f>
        <v>Muito bom</v>
      </c>
      <c r="EY90" s="37" t="str">
        <f>IF(VLOOKUP(BH90,Fundamentus!A:U,15,FALSE)&gt;1,"Bom",IF(VLOOKUP(BH90,Fundamentus!A:U,15,FALSE)&lt;1,"Ruim","n/a"))</f>
        <v>Ruim</v>
      </c>
      <c r="EZ90" s="20" t="str">
        <f>IF(VLOOKUP(BH90,Fundamentus!A:U,20,FALSE)&lt;0.5,"Baixa",IF(VLOOKUP(BH90,Fundamentus!A:U,20,FALSE)&lt;1,"Moderada",IF(VLOOKUP(BH90,Fundamentus!A:U,20,FALSE)&lt;2,"Alerta",IF(VLOOKUP(BH90,Fundamentus!A:U,20,FALSE)&gt;2,"Alta","n/a"))))</f>
        <v>Alerta</v>
      </c>
      <c r="FA90" s="10"/>
    </row>
    <row r="91" spans="1:157" s="2" customFormat="1" ht="11.25" hidden="1" x14ac:dyDescent="0.2">
      <c r="A91" s="4">
        <v>53.98</v>
      </c>
      <c r="B91" s="4">
        <v>54</v>
      </c>
      <c r="C91" s="4">
        <v>50.88</v>
      </c>
      <c r="D91" s="4">
        <v>50.5</v>
      </c>
      <c r="E91" s="4">
        <v>49.95</v>
      </c>
      <c r="F91" s="4">
        <v>47.68</v>
      </c>
      <c r="G91" s="4">
        <v>48.63</v>
      </c>
      <c r="H91" s="4">
        <v>48.3</v>
      </c>
      <c r="I91" s="4">
        <v>48.82</v>
      </c>
      <c r="J91" s="4">
        <v>52.29</v>
      </c>
      <c r="K91" s="4">
        <v>51.89</v>
      </c>
      <c r="L91" s="4">
        <v>51.06</v>
      </c>
      <c r="M91" s="4">
        <v>50.25</v>
      </c>
      <c r="N91" s="4">
        <v>51.22</v>
      </c>
      <c r="O91" s="4">
        <v>50</v>
      </c>
      <c r="P91" s="4">
        <v>48.68</v>
      </c>
      <c r="Q91" s="4">
        <v>49.26</v>
      </c>
      <c r="R91" s="4">
        <v>47.28</v>
      </c>
      <c r="S91" s="4">
        <v>47.91</v>
      </c>
      <c r="T91" s="4">
        <v>48.21</v>
      </c>
      <c r="U91" s="4">
        <v>47.86</v>
      </c>
      <c r="V91" s="4">
        <v>47.5</v>
      </c>
      <c r="W91" s="4">
        <v>46.56</v>
      </c>
      <c r="X91" s="4">
        <v>46.58</v>
      </c>
      <c r="Y91" s="4">
        <v>45.84</v>
      </c>
      <c r="Z91" s="4">
        <v>46.02</v>
      </c>
      <c r="AA91" s="4">
        <v>44.14</v>
      </c>
      <c r="AB91" s="4">
        <v>44.5</v>
      </c>
      <c r="AC91" s="4">
        <v>48.71</v>
      </c>
      <c r="AD91" s="4">
        <v>51.13</v>
      </c>
      <c r="AE91" s="4">
        <v>52</v>
      </c>
      <c r="AF91" s="4">
        <v>49.62</v>
      </c>
      <c r="AG91" s="4">
        <v>49.24</v>
      </c>
      <c r="AH91" s="4">
        <v>47.18</v>
      </c>
      <c r="AI91" s="4">
        <v>47.38</v>
      </c>
      <c r="AJ91" s="4">
        <v>44.99</v>
      </c>
      <c r="AK91" s="4">
        <v>44.8</v>
      </c>
      <c r="AL91" s="4">
        <v>45.52</v>
      </c>
      <c r="AM91" s="4">
        <v>47.6</v>
      </c>
      <c r="AN91" s="4">
        <v>49.04</v>
      </c>
      <c r="AO91" s="4">
        <v>47.59</v>
      </c>
      <c r="AP91" s="4">
        <v>47.99</v>
      </c>
      <c r="AQ91" s="4">
        <v>48.39</v>
      </c>
      <c r="AR91" s="4">
        <v>45.47</v>
      </c>
      <c r="AS91" s="4">
        <v>47.18</v>
      </c>
      <c r="AT91" s="4">
        <v>53.5</v>
      </c>
      <c r="AU91" s="4">
        <v>53.244999999999997</v>
      </c>
      <c r="AV91" s="4">
        <v>54.93</v>
      </c>
      <c r="AW91" s="4">
        <v>56.11</v>
      </c>
      <c r="AX91" s="4">
        <v>54.69</v>
      </c>
      <c r="AY91" s="12">
        <v>53</v>
      </c>
      <c r="AZ91" s="12">
        <v>54.36</v>
      </c>
      <c r="BA91" s="12">
        <v>54.57</v>
      </c>
      <c r="BB91" s="18">
        <v>55.14</v>
      </c>
      <c r="BC91" s="63">
        <v>57.54</v>
      </c>
      <c r="BD91" s="63">
        <v>61</v>
      </c>
      <c r="BE91" s="63">
        <v>60.1</v>
      </c>
      <c r="BF91" s="63">
        <v>60.17</v>
      </c>
      <c r="BG91" s="91" cm="1">
        <f t="array" aca="1" ref="BG91" ca="1">_FV(EE91,"Preço")</f>
        <v>59.11</v>
      </c>
      <c r="BH91" s="93" t="s">
        <v>151</v>
      </c>
      <c r="BI91" s="32" cm="1">
        <f t="array" aca="1" ref="BI91" ca="1">_FV(EE91,"Beta")</f>
        <v>1.2552000000000001</v>
      </c>
      <c r="BJ91" s="96" cm="1">
        <f t="array" aca="1" ref="BJ91" ca="1">_FV(EE91,"Variação (%)",TRUE)</f>
        <v>-1.3352999999999999E-2</v>
      </c>
      <c r="BK91" s="49"/>
      <c r="BL91" s="49"/>
      <c r="BN91" s="32"/>
      <c r="BO91" s="20" cm="1">
        <f t="array" aca="1" ref="BO91" ca="1">_FV(EE91,"Baixo")</f>
        <v>58.69</v>
      </c>
      <c r="BP91" s="20" cm="1">
        <f t="array" aca="1" ref="BP91" ca="1">_FV(EE91,"Alto")</f>
        <v>59.9</v>
      </c>
      <c r="BQ91" s="32"/>
      <c r="BR91" s="74">
        <f ca="1">SQRT(22.5*(BG91/VLOOKUP(BH91,Fundamentus!A:U,3,FALSE))*(BG91/VLOOKUP(BH91,Fundamentus!A:U,4,FALSE)))</f>
        <v>54.737530392072173</v>
      </c>
      <c r="BT91" s="73">
        <f t="shared" ca="1" si="99"/>
        <v>-1.761675253448566E-2</v>
      </c>
      <c r="BU91" s="36">
        <f t="shared" si="100"/>
        <v>0.11337532419414607</v>
      </c>
      <c r="BV91" s="8"/>
      <c r="BW91" s="72">
        <f t="shared" si="101"/>
        <v>44.14</v>
      </c>
      <c r="BX91" s="72">
        <f t="shared" si="102"/>
        <v>50.206465517241369</v>
      </c>
      <c r="BY91" s="72">
        <f t="shared" si="103"/>
        <v>61</v>
      </c>
      <c r="BZ91" s="17"/>
      <c r="CA91" s="17"/>
      <c r="CB91" s="43">
        <f t="shared" si="104"/>
        <v>58.878867250250835</v>
      </c>
      <c r="CC91" s="18">
        <f t="shared" si="105"/>
        <v>61.474339268978838</v>
      </c>
      <c r="CD91" s="43">
        <f t="shared" si="106"/>
        <v>64.069811287706841</v>
      </c>
      <c r="CE91" s="98">
        <f t="shared" ca="1" si="107"/>
        <v>-0.91094770119600865</v>
      </c>
      <c r="CF91" s="17"/>
      <c r="CG91" s="20">
        <f t="shared" si="108"/>
        <v>32.346666666666664</v>
      </c>
      <c r="CH91" s="20">
        <f t="shared" si="109"/>
        <v>38.243333333333332</v>
      </c>
      <c r="CI91" s="20">
        <f t="shared" si="110"/>
        <v>49.206666666666663</v>
      </c>
      <c r="CJ91" s="49">
        <f t="shared" si="111"/>
        <v>55.103333333333332</v>
      </c>
      <c r="CK91" s="20">
        <f t="shared" si="112"/>
        <v>66.066666666666663</v>
      </c>
      <c r="CL91" s="20">
        <f t="shared" si="113"/>
        <v>71.963333333333338</v>
      </c>
      <c r="CM91" s="20">
        <f t="shared" si="114"/>
        <v>82.926666666666662</v>
      </c>
      <c r="CN91" s="2" cm="1">
        <f t="array" aca="1" ref="CN91" ca="1">MAX(_xlfn._xlws.FILTER(CG91:CM91,CG91:CM91&lt;BG91))</f>
        <v>55.103333333333332</v>
      </c>
      <c r="CO91" s="2" cm="1">
        <f t="array" aca="1" ref="CO91" ca="1">MIN(_xlfn._xlws.FILTER($CG91:$CM91,$CG91:$CM91&gt;BG91))</f>
        <v>66.066666666666663</v>
      </c>
      <c r="CP91" s="19">
        <f t="shared" ca="1" si="124"/>
        <v>0.19895953057891225</v>
      </c>
      <c r="CQ91" s="23">
        <f t="shared" ca="1" si="125"/>
        <v>-9.9479765289456124E-2</v>
      </c>
      <c r="CR91" s="23">
        <f t="shared" ca="1" si="126"/>
        <v>-6.6319843526304087E-2</v>
      </c>
      <c r="CS91" s="23">
        <f t="shared" ca="1" si="127"/>
        <v>-3.9791906115782448E-2</v>
      </c>
      <c r="CT91" s="23">
        <f t="shared" ca="1" si="128"/>
        <v>-2.2106614508768028E-2</v>
      </c>
      <c r="CU91" s="23">
        <f t="shared" ca="1" si="129"/>
        <v>-1.1703501798759544E-2</v>
      </c>
      <c r="CV91" s="23">
        <f t="shared" ca="1" si="130"/>
        <v>-6.0290766842094621E-3</v>
      </c>
      <c r="CW91" s="23">
        <f t="shared" ca="1" si="131"/>
        <v>-3.0609158550601884E-3</v>
      </c>
      <c r="CX91" s="24">
        <f t="shared" ca="1" si="132"/>
        <v>3.0609158550601884E-3</v>
      </c>
      <c r="CY91" s="24">
        <f t="shared" ca="1" si="133"/>
        <v>6.0290766842094621E-3</v>
      </c>
      <c r="CZ91" s="24">
        <f t="shared" ca="1" si="134"/>
        <v>1.1703501798759544E-2</v>
      </c>
      <c r="DA91" s="24">
        <f t="shared" ca="1" si="135"/>
        <v>2.2106614508768028E-2</v>
      </c>
      <c r="DB91" s="24">
        <f t="shared" ca="1" si="136"/>
        <v>3.9791906115782448E-2</v>
      </c>
      <c r="DC91" s="24">
        <f t="shared" ca="1" si="137"/>
        <v>6.6319843526304087E-2</v>
      </c>
      <c r="DD91" s="24">
        <f t="shared" ca="1" si="138"/>
        <v>9.9479765289456124E-2</v>
      </c>
      <c r="DF91" s="19" cm="1">
        <f t="array" aca="1" ref="DF91" ca="1">MAX(_xlfn._xlws.FILTER(CQ91:DD91,CQ91:DD91&lt;BJ91))</f>
        <v>-2.2106614508768028E-2</v>
      </c>
      <c r="DG91" s="19" cm="1">
        <f t="array" aca="1" ref="DG91" ca="1">MIN(_xlfn._xlws.FILTER(CQ91:DD91,CQ91:DD91&gt;BJ91))</f>
        <v>-1.1703501798759544E-2</v>
      </c>
      <c r="DH91" s="2" cm="1">
        <f t="array" aca="1" ref="DH91" ca="1">_FV(EE91,"Fechamento anterior",TRUE)</f>
        <v>59.91</v>
      </c>
      <c r="DI91" s="36">
        <f t="shared" ca="1" si="115"/>
        <v>0.84140693024943636</v>
      </c>
      <c r="DJ91" s="18">
        <f t="shared" ca="1" si="139"/>
        <v>58.585592724779701</v>
      </c>
      <c r="DK91" s="18">
        <f t="shared" ca="1" si="140"/>
        <v>59.208843207236313</v>
      </c>
      <c r="DL91" s="9"/>
      <c r="DM91" s="9"/>
      <c r="DN91" s="9"/>
      <c r="DO91" s="9"/>
      <c r="DP91" s="79">
        <v>1.9906634117092814E-2</v>
      </c>
      <c r="DQ91" s="79">
        <v>8.773745797967256E-3</v>
      </c>
      <c r="DR91" s="79">
        <v>8.773745797967256E-3</v>
      </c>
      <c r="DS91" s="79">
        <f t="shared" ca="1" si="116"/>
        <v>1.0403112710008483E-2</v>
      </c>
      <c r="DT91" s="47"/>
      <c r="DU91" s="43">
        <f t="shared" si="117"/>
        <v>1.2977360093640007</v>
      </c>
      <c r="DV91" s="83">
        <f t="shared" ca="1" si="118"/>
        <v>1.6813</v>
      </c>
      <c r="DW91" s="83">
        <f t="shared" ca="1" si="119"/>
        <v>2.5905</v>
      </c>
      <c r="DX91" s="83">
        <f t="shared" ca="1" si="120"/>
        <v>-0.90920000000000001</v>
      </c>
      <c r="DY91" s="67"/>
      <c r="DZ91" s="67"/>
      <c r="EA91" s="85"/>
      <c r="EB91" s="44">
        <v>86600</v>
      </c>
      <c r="EC91" s="44" cm="1">
        <f t="array" aca="1" ref="EC91" ca="1">_FV(EE91,"Volume")</f>
        <v>120200</v>
      </c>
      <c r="EE91" s="2" t="e" vm="91">
        <v>#VALUE!</v>
      </c>
      <c r="EG91" s="10" cm="1">
        <f t="array" aca="1" ref="EG91" ca="1">_FV(EE91,"Ações em circulação",TRUE)</f>
        <v>113173300</v>
      </c>
      <c r="EH91" s="21">
        <f>VLOOKUP(BH91,Fundamentus!A:U,5,FALSE)</f>
        <v>1.1930000000000001</v>
      </c>
      <c r="EI91" s="2">
        <f t="shared" ca="1" si="121"/>
        <v>5607438191.9530592</v>
      </c>
      <c r="EJ91" s="20">
        <v>659844166.38021791</v>
      </c>
      <c r="EK91" s="20">
        <f t="shared" ca="1" si="122"/>
        <v>648219854.98977363</v>
      </c>
      <c r="EM91" s="40" t="str">
        <f>IF(VLOOKUP(BH91,Fundamentus!A:U,3,FALSE)&lt;15,"Bom",IF(VLOOKUP(BH91,Fundamentus!A:U,3,FALSE)&gt;15,"Ruim","n/a"))</f>
        <v>Bom</v>
      </c>
      <c r="EN91" s="36" t="str">
        <f>IF(VLOOKUP(BH91,Fundamentus!A:U,4,FALSE)&lt;1,"Baixo",IF(VLOOKUP(BH91,Fundamentus!A:U,4,FALSE)&lt;1.5,"Moderado",IF(VLOOKUP(BH91,Fundamentus!A:U,4,FALSE)&gt;1.5,"Alto","n/a")))</f>
        <v>Alto</v>
      </c>
      <c r="EO91" s="20" t="str">
        <f>IF(VLOOKUP(BH91,Fundamentus!A:U,8,FALSE)&lt;0,"Risco elevado",IF(VLOOKUP(BH91,Fundamentus!A:U,8,FALSE)&lt;1,"Saudável",IF(VLOOKUP(BH91,Fundamentus!A:U,8,FALSE)&lt;3,"Estável",IF(VLOOKUP(BH91,Fundamentus!A:U,8,FALSE)&gt;3,"Alerta","n/a"))))</f>
        <v>Alerta</v>
      </c>
      <c r="EP91" s="36" t="str">
        <f t="shared" si="123"/>
        <v>Bom</v>
      </c>
      <c r="EQ91" s="20" t="str">
        <f>IF(VLOOKUP(BH91,Fundamentus!A:U,12,FALSE)&lt;2,"Subvalorizada",IF(VLOOKUP(BH91,Fundamentus!A:U,12,FALSE)&lt;6,"Muita barata",IF(VLOOKUP(BH91,Fundamentus!A:U,12,FALSE)&lt;6,"Barata",IF(VLOOKUP(BH91,Fundamentus!A:U,12,FALSE)&lt;8,"Atrativa",IF(VLOOKUP(BH91,Fundamentus!A:U,12,FALSE)&gt;8,"Supervalorizada","n/a")))))</f>
        <v>Atrativa</v>
      </c>
      <c r="ES91" s="20" t="str">
        <f>IF(VLOOKUP(BH91,Fundamentus!A:U,17,FALSE)&lt;0.1,"Fraco retorno",IF(VLOOKUP(BH91,Fundamentus!A:U,17,FALSE)&gt;0.1,"Bom retorno","n/a"))</f>
        <v>Bom retorno</v>
      </c>
      <c r="ET91" s="20" t="str">
        <f>IF(VLOOKUP(BH91,Fundamentus!A:U,16,FALSE)&lt;0.1,"Ineficiente",IF(VLOOKUP(BH91,Fundamentus!A:U,16,FALSE)&gt;0.1,"Eficiente","n/a"))</f>
        <v>Eficiente</v>
      </c>
      <c r="EU91" s="41" t="str">
        <f>IF(VLOOKUP(BH91,Fundamentus!A:U,16,FALSE)&lt;0.1,"Oper. Ineficiente",IF(VLOOKUP(BH91,Fundamentus!A:U,16,FALSE)&gt;0.1,"Oper.Eficiente","n/a"))</f>
        <v>Oper.Eficiente</v>
      </c>
      <c r="EV91" s="42">
        <f>VLOOKUP(BH91,Fundamentus!A:U,14,FALSE)</f>
        <v>0.11559999999999999</v>
      </c>
      <c r="EW91" s="20" t="str">
        <f>IF(VLOOKUP(BH91,Fundamentus!A:U,21,FALSE)&lt;0,"Negativo",IF(VLOOKUP(BH91,Fundamentus!A:U,21,FALSE)&lt;0.05,"Fraco",IF(VLOOKUP(BH91,Fundamentus!A:U,21,FALSE)&lt;0.1,"Bom",IF(VLOOKUP(BH91,Fundamentus!A:U,21,FALSE)&gt;0.1,"Muito bom","n/a"))))</f>
        <v>Fraco</v>
      </c>
      <c r="EY91" s="37" t="str">
        <f>IF(VLOOKUP(BH91,Fundamentus!A:U,15,FALSE)&gt;1,"Bom",IF(VLOOKUP(BH91,Fundamentus!A:U,15,FALSE)&lt;1,"Ruim","n/a"))</f>
        <v>Bom</v>
      </c>
      <c r="EZ91" s="20" t="str">
        <f>IF(VLOOKUP(BH91,Fundamentus!A:U,20,FALSE)&lt;0.5,"Baixa",IF(VLOOKUP(BH91,Fundamentus!A:U,20,FALSE)&lt;1,"Moderada",IF(VLOOKUP(BH91,Fundamentus!A:U,20,FALSE)&lt;2,"Alerta",IF(VLOOKUP(BH91,Fundamentus!A:U,20,FALSE)&gt;2,"Alta","n/a"))))</f>
        <v>Moderada</v>
      </c>
      <c r="FA91" s="10"/>
    </row>
    <row r="92" spans="1:157" s="2" customFormat="1" ht="11.25" hidden="1" x14ac:dyDescent="0.2">
      <c r="A92" s="4">
        <v>14.64</v>
      </c>
      <c r="B92" s="4">
        <v>13.99</v>
      </c>
      <c r="C92" s="4">
        <v>13.65</v>
      </c>
      <c r="D92" s="4">
        <v>13.01</v>
      </c>
      <c r="E92" s="4">
        <v>12.96</v>
      </c>
      <c r="F92" s="4">
        <v>13.48</v>
      </c>
      <c r="G92" s="4">
        <v>13.3</v>
      </c>
      <c r="H92" s="4">
        <v>12.9</v>
      </c>
      <c r="I92" s="4">
        <v>12.91</v>
      </c>
      <c r="J92" s="4">
        <v>13.64</v>
      </c>
      <c r="K92" s="4">
        <v>14.31</v>
      </c>
      <c r="L92" s="4">
        <v>14.23</v>
      </c>
      <c r="M92" s="4">
        <v>13.49</v>
      </c>
      <c r="N92" s="4">
        <v>13.9</v>
      </c>
      <c r="O92" s="4">
        <v>14.18</v>
      </c>
      <c r="P92" s="4">
        <v>14.04</v>
      </c>
      <c r="Q92" s="4">
        <v>14.81</v>
      </c>
      <c r="R92" s="4">
        <v>14.09</v>
      </c>
      <c r="S92" s="4">
        <v>13.76</v>
      </c>
      <c r="T92" s="4">
        <v>14.74</v>
      </c>
      <c r="U92" s="4">
        <v>13.46</v>
      </c>
      <c r="V92" s="4">
        <v>13.47</v>
      </c>
      <c r="W92" s="4">
        <v>13.92</v>
      </c>
      <c r="X92" s="4">
        <v>14.12</v>
      </c>
      <c r="Y92" s="4">
        <v>13.57</v>
      </c>
      <c r="Z92" s="4">
        <v>13.42</v>
      </c>
      <c r="AA92" s="4">
        <v>14.88</v>
      </c>
      <c r="AB92" s="4">
        <v>14.23</v>
      </c>
      <c r="AC92" s="4">
        <v>14.38</v>
      </c>
      <c r="AD92" s="4">
        <v>14.09</v>
      </c>
      <c r="AE92" s="4">
        <v>12.66</v>
      </c>
      <c r="AF92" s="4">
        <v>12.1</v>
      </c>
      <c r="AG92" s="4">
        <v>11.34</v>
      </c>
      <c r="AH92" s="4">
        <v>11.19</v>
      </c>
      <c r="AI92" s="4">
        <v>10.91</v>
      </c>
      <c r="AJ92" s="4">
        <v>10.59</v>
      </c>
      <c r="AK92" s="4">
        <v>10.69</v>
      </c>
      <c r="AL92" s="4">
        <v>11.28</v>
      </c>
      <c r="AM92" s="4">
        <v>11.42</v>
      </c>
      <c r="AN92" s="4">
        <v>12.7</v>
      </c>
      <c r="AO92" s="4">
        <v>12.64</v>
      </c>
      <c r="AP92" s="4">
        <v>13.35</v>
      </c>
      <c r="AQ92" s="4">
        <v>13.77</v>
      </c>
      <c r="AR92" s="4">
        <v>12.25</v>
      </c>
      <c r="AS92" s="4">
        <v>13.02</v>
      </c>
      <c r="AT92" s="4">
        <v>15.64</v>
      </c>
      <c r="AU92" s="4">
        <v>15.234999999999999</v>
      </c>
      <c r="AV92" s="4">
        <v>15.4</v>
      </c>
      <c r="AW92" s="4">
        <v>15.1</v>
      </c>
      <c r="AX92" s="4">
        <v>15.5</v>
      </c>
      <c r="AY92" s="12">
        <v>14.64</v>
      </c>
      <c r="AZ92" s="12">
        <v>14.11</v>
      </c>
      <c r="BA92" s="12">
        <v>13.28</v>
      </c>
      <c r="BB92" s="18">
        <v>13.75</v>
      </c>
      <c r="BC92" s="63">
        <v>13.7</v>
      </c>
      <c r="BD92" s="63">
        <v>13.17</v>
      </c>
      <c r="BE92" s="63">
        <v>13.33</v>
      </c>
      <c r="BF92" s="63">
        <v>13.57</v>
      </c>
      <c r="BG92" s="91" cm="1">
        <f t="array" aca="1" ref="BG92" ca="1">_FV(EE92,"Preço")</f>
        <v>13.29</v>
      </c>
      <c r="BH92" s="93" t="s">
        <v>90</v>
      </c>
      <c r="BI92" s="32" cm="1">
        <f t="array" aca="1" ref="BI92" ca="1">_FV(EE92,"Beta")</f>
        <v>1.6125</v>
      </c>
      <c r="BJ92" s="96" cm="1">
        <f t="array" aca="1" ref="BJ92" ca="1">_FV(EE92,"Variação (%)",TRUE)</f>
        <v>-1.4825999999999999E-2</v>
      </c>
      <c r="BK92" s="49"/>
      <c r="BL92" s="49"/>
      <c r="BN92" s="32"/>
      <c r="BO92" s="20" cm="1">
        <f t="array" aca="1" ref="BO92" ca="1">_FV(EE92,"Baixo")</f>
        <v>13.15</v>
      </c>
      <c r="BP92" s="20" cm="1">
        <f t="array" aca="1" ref="BP92" ca="1">_FV(EE92,"Alto")</f>
        <v>13.43</v>
      </c>
      <c r="BQ92" s="32"/>
      <c r="BR92" s="74">
        <f ca="1">SQRT(22.5*(BG92/VLOOKUP(BH92,Fundamentus!A:U,3,FALSE))*(BG92/VLOOKUP(BH92,Fundamentus!A:U,4,FALSE)))</f>
        <v>30.52292686833788</v>
      </c>
      <c r="BT92" s="73">
        <f t="shared" ca="1" si="99"/>
        <v>-2.0633750921149677E-2</v>
      </c>
      <c r="BU92" s="36">
        <f t="shared" si="100"/>
        <v>-8.9480874316939921E-2</v>
      </c>
      <c r="BV92" s="8"/>
      <c r="BW92" s="72">
        <f t="shared" si="101"/>
        <v>10.59</v>
      </c>
      <c r="BX92" s="72">
        <f t="shared" si="102"/>
        <v>13.481120689655175</v>
      </c>
      <c r="BY92" s="72">
        <f t="shared" si="103"/>
        <v>15.64</v>
      </c>
      <c r="BZ92" s="17"/>
      <c r="CA92" s="17"/>
      <c r="CB92" s="43">
        <f t="shared" si="104"/>
        <v>12.960126023426026</v>
      </c>
      <c r="CC92" s="18">
        <f t="shared" si="105"/>
        <v>13.371799437675719</v>
      </c>
      <c r="CD92" s="43">
        <f t="shared" si="106"/>
        <v>13.783472851925412</v>
      </c>
      <c r="CE92" s="98">
        <f t="shared" ca="1" si="107"/>
        <v>-0.19869983060432933</v>
      </c>
      <c r="CF92" s="17"/>
      <c r="CG92" s="20">
        <f t="shared" si="108"/>
        <v>5.8433333333333302</v>
      </c>
      <c r="CH92" s="20">
        <f t="shared" si="109"/>
        <v>8.216666666666665</v>
      </c>
      <c r="CI92" s="20">
        <f t="shared" si="110"/>
        <v>10.893333333333331</v>
      </c>
      <c r="CJ92" s="49">
        <f t="shared" si="111"/>
        <v>13.266666666666666</v>
      </c>
      <c r="CK92" s="20">
        <f t="shared" si="112"/>
        <v>15.943333333333332</v>
      </c>
      <c r="CL92" s="20">
        <f t="shared" si="113"/>
        <v>18.316666666666666</v>
      </c>
      <c r="CM92" s="20">
        <f t="shared" si="114"/>
        <v>20.993333333333332</v>
      </c>
      <c r="CN92" s="2" cm="1">
        <f t="array" aca="1" ref="CN92" ca="1">MAX(_xlfn._xlws.FILTER(CG92:CM92,CG92:CM92&lt;BG92))</f>
        <v>13.266666666666666</v>
      </c>
      <c r="CO92" s="2" cm="1">
        <f t="array" aca="1" ref="CO92" ca="1">MIN(_xlfn._xlws.FILTER($CG92:$CM92,$CG92:$CM92&gt;BG92))</f>
        <v>15.943333333333332</v>
      </c>
      <c r="CP92" s="19">
        <f t="shared" ca="1" si="124"/>
        <v>0.2017587939698493</v>
      </c>
      <c r="CQ92" s="23">
        <f t="shared" ca="1" si="125"/>
        <v>-0.10087939698492465</v>
      </c>
      <c r="CR92" s="23">
        <f t="shared" ca="1" si="126"/>
        <v>-6.7252931323283097E-2</v>
      </c>
      <c r="CS92" s="23">
        <f t="shared" ca="1" si="127"/>
        <v>-4.0351758793969864E-2</v>
      </c>
      <c r="CT92" s="23">
        <f t="shared" ca="1" si="128"/>
        <v>-2.24176437744277E-2</v>
      </c>
      <c r="CU92" s="23">
        <f t="shared" ca="1" si="129"/>
        <v>-1.1868164351167606E-2</v>
      </c>
      <c r="CV92" s="23">
        <f t="shared" ca="1" si="130"/>
        <v>-6.1139028475711912E-3</v>
      </c>
      <c r="CW92" s="23">
        <f t="shared" ca="1" si="131"/>
        <v>-3.1039814456899893E-3</v>
      </c>
      <c r="CX92" s="24">
        <f t="shared" ca="1" si="132"/>
        <v>3.1039814456899893E-3</v>
      </c>
      <c r="CY92" s="24">
        <f t="shared" ca="1" si="133"/>
        <v>6.1139028475711912E-3</v>
      </c>
      <c r="CZ92" s="24">
        <f t="shared" ca="1" si="134"/>
        <v>1.1868164351167606E-2</v>
      </c>
      <c r="DA92" s="24">
        <f t="shared" ca="1" si="135"/>
        <v>2.24176437744277E-2</v>
      </c>
      <c r="DB92" s="24">
        <f t="shared" ca="1" si="136"/>
        <v>4.0351758793969864E-2</v>
      </c>
      <c r="DC92" s="24">
        <f t="shared" ca="1" si="137"/>
        <v>6.7252931323283097E-2</v>
      </c>
      <c r="DD92" s="24">
        <f t="shared" ca="1" si="138"/>
        <v>0.10087939698492465</v>
      </c>
      <c r="DF92" s="19" cm="1">
        <f t="array" aca="1" ref="DF92" ca="1">MAX(_xlfn._xlws.FILTER(CQ92:DD92,CQ92:DD92&lt;BJ92))</f>
        <v>-2.24176437744277E-2</v>
      </c>
      <c r="DG92" s="19" cm="1">
        <f t="array" aca="1" ref="DG92" ca="1">MIN(_xlfn._xlws.FILTER(CQ92:DD92,CQ92:DD92&gt;BJ92))</f>
        <v>-1.1868164351167606E-2</v>
      </c>
      <c r="DH92" s="2" cm="1">
        <f t="array" aca="1" ref="DH92" ca="1">_FV(EE92,"Fechamento anterior",TRUE)</f>
        <v>13.49</v>
      </c>
      <c r="DI92" s="36">
        <f t="shared" ca="1" si="115"/>
        <v>0.71964184991972635</v>
      </c>
      <c r="DJ92" s="18">
        <f t="shared" ca="1" si="139"/>
        <v>13.18758598548297</v>
      </c>
      <c r="DK92" s="18">
        <f t="shared" ca="1" si="140"/>
        <v>13.329898462902749</v>
      </c>
      <c r="DL92" s="9"/>
      <c r="DM92" s="9"/>
      <c r="DN92" s="9"/>
      <c r="DO92" s="9"/>
      <c r="DP92" s="79">
        <v>1.9791751624391712E-2</v>
      </c>
      <c r="DQ92" s="79">
        <v>9.085004861603841E-3</v>
      </c>
      <c r="DR92" s="79">
        <v>9.085004861603841E-3</v>
      </c>
      <c r="DS92" s="79">
        <f t="shared" ca="1" si="116"/>
        <v>1.0549479423260094E-2</v>
      </c>
      <c r="DT92" s="47"/>
      <c r="DU92" s="43">
        <f t="shared" si="117"/>
        <v>0.20583670712484675</v>
      </c>
      <c r="DV92" s="83">
        <f t="shared" ca="1" si="118"/>
        <v>2.0386000000000002</v>
      </c>
      <c r="DW92" s="83">
        <f t="shared" ca="1" si="119"/>
        <v>3.0951</v>
      </c>
      <c r="DX92" s="83">
        <f t="shared" ca="1" si="120"/>
        <v>-1.0564999999999998</v>
      </c>
      <c r="DY92" s="67"/>
      <c r="DZ92" s="67"/>
      <c r="EA92" s="85"/>
      <c r="EB92" s="44">
        <v>1360800</v>
      </c>
      <c r="EC92" s="44" cm="1">
        <f t="array" aca="1" ref="EC92" ca="1">_FV(EE92,"Volume")</f>
        <v>1053600</v>
      </c>
      <c r="EE92" s="2" t="e" vm="92">
        <v>#VALUE!</v>
      </c>
      <c r="EG92" s="10" cm="1">
        <f t="array" aca="1" ref="EG92" ca="1">_FV(EE92,"Ações em circulação",TRUE)</f>
        <v>220989100</v>
      </c>
      <c r="EH92" s="21">
        <f>VLOOKUP(BH92,Fundamentus!A:U,5,FALSE)</f>
        <v>1.863</v>
      </c>
      <c r="EI92" s="2">
        <f t="shared" ca="1" si="121"/>
        <v>1576460085.3462157</v>
      </c>
      <c r="EJ92" s="20">
        <v>462781186.26543206</v>
      </c>
      <c r="EK92" s="20">
        <f t="shared" ca="1" si="122"/>
        <v>453232274.53703701</v>
      </c>
      <c r="EM92" s="40" t="str">
        <f>IF(VLOOKUP(BH92,Fundamentus!A:U,3,FALSE)&lt;15,"Bom",IF(VLOOKUP(BH92,Fundamentus!A:U,3,FALSE)&gt;15,"Ruim","n/a"))</f>
        <v>Bom</v>
      </c>
      <c r="EN92" s="36" t="str">
        <f>IF(VLOOKUP(BH92,Fundamentus!A:U,4,FALSE)&lt;1,"Baixo",IF(VLOOKUP(BH92,Fundamentus!A:U,4,FALSE)&lt;1.5,"Moderado",IF(VLOOKUP(BH92,Fundamentus!A:U,4,FALSE)&gt;1.5,"Alto","n/a")))</f>
        <v>Baixo</v>
      </c>
      <c r="EO92" s="20" t="str">
        <f>IF(VLOOKUP(BH92,Fundamentus!A:U,8,FALSE)&lt;0,"Risco elevado",IF(VLOOKUP(BH92,Fundamentus!A:U,8,FALSE)&lt;1,"Saudável",IF(VLOOKUP(BH92,Fundamentus!A:U,8,FALSE)&lt;3,"Estável",IF(VLOOKUP(BH92,Fundamentus!A:U,8,FALSE)&gt;3,"Alerta","n/a"))))</f>
        <v>Estável</v>
      </c>
      <c r="EP92" s="36" t="str">
        <f t="shared" si="123"/>
        <v>Bom</v>
      </c>
      <c r="EQ92" s="20" t="str">
        <f>IF(VLOOKUP(BH92,Fundamentus!A:U,12,FALSE)&lt;2,"Subvalorizada",IF(VLOOKUP(BH92,Fundamentus!A:U,12,FALSE)&lt;6,"Muita barata",IF(VLOOKUP(BH92,Fundamentus!A:U,12,FALSE)&lt;6,"Barata",IF(VLOOKUP(BH92,Fundamentus!A:U,12,FALSE)&lt;8,"Atrativa",IF(VLOOKUP(BH92,Fundamentus!A:U,12,FALSE)&gt;8,"Supervalorizada","n/a")))))</f>
        <v>Supervalorizada</v>
      </c>
      <c r="ES92" s="20" t="str">
        <f>IF(VLOOKUP(BH92,Fundamentus!A:U,17,FALSE)&lt;0.1,"Fraco retorno",IF(VLOOKUP(BH92,Fundamentus!A:U,17,FALSE)&gt;0.1,"Bom retorno","n/a"))</f>
        <v>Fraco retorno</v>
      </c>
      <c r="ET92" s="20" t="str">
        <f>IF(VLOOKUP(BH92,Fundamentus!A:U,16,FALSE)&lt;0.1,"Ineficiente",IF(VLOOKUP(BH92,Fundamentus!A:U,16,FALSE)&gt;0.1,"Eficiente","n/a"))</f>
        <v>Ineficiente</v>
      </c>
      <c r="EU92" s="41" t="str">
        <f>IF(VLOOKUP(BH92,Fundamentus!A:U,16,FALSE)&lt;0.1,"Oper. Ineficiente",IF(VLOOKUP(BH92,Fundamentus!A:U,16,FALSE)&gt;0.1,"Oper.Eficiente","n/a"))</f>
        <v>Oper. Ineficiente</v>
      </c>
      <c r="EV92" s="42">
        <f>VLOOKUP(BH92,Fundamentus!A:U,14,FALSE)</f>
        <v>0.28749999999999998</v>
      </c>
      <c r="EW92" s="20" t="str">
        <f>IF(VLOOKUP(BH92,Fundamentus!A:U,21,FALSE)&lt;0,"Negativo",IF(VLOOKUP(BH92,Fundamentus!A:U,21,FALSE)&lt;0.05,"Fraco",IF(VLOOKUP(BH92,Fundamentus!A:U,21,FALSE)&lt;0.1,"Bom",IF(VLOOKUP(BH92,Fundamentus!A:U,21,FALSE)&gt;0.1,"Muito bom","n/a"))))</f>
        <v>Muito bom</v>
      </c>
      <c r="EY92" s="37" t="str">
        <f>IF(VLOOKUP(BH92,Fundamentus!A:U,15,FALSE)&gt;1,"Bom",IF(VLOOKUP(BH92,Fundamentus!A:U,15,FALSE)&lt;1,"Ruim","n/a"))</f>
        <v>Bom</v>
      </c>
      <c r="EZ92" s="20" t="str">
        <f>IF(VLOOKUP(BH92,Fundamentus!A:U,20,FALSE)&lt;0.5,"Baixa",IF(VLOOKUP(BH92,Fundamentus!A:U,20,FALSE)&lt;1,"Moderada",IF(VLOOKUP(BH92,Fundamentus!A:U,20,FALSE)&lt;2,"Alerta",IF(VLOOKUP(BH92,Fundamentus!A:U,20,FALSE)&gt;2,"Alta","n/a"))))</f>
        <v>Baixa</v>
      </c>
      <c r="FA92" s="10"/>
    </row>
    <row r="93" spans="1:157" s="2" customFormat="1" ht="11.25" hidden="1" x14ac:dyDescent="0.2">
      <c r="A93" s="4">
        <v>59.17</v>
      </c>
      <c r="B93" s="4">
        <v>52.7</v>
      </c>
      <c r="C93" s="4">
        <v>51.45</v>
      </c>
      <c r="D93" s="4">
        <v>48.94</v>
      </c>
      <c r="E93" s="4">
        <v>48.66</v>
      </c>
      <c r="F93" s="4">
        <v>48.65</v>
      </c>
      <c r="G93" s="4">
        <v>48.97</v>
      </c>
      <c r="H93" s="4">
        <v>48.85</v>
      </c>
      <c r="I93" s="4">
        <v>56.98</v>
      </c>
      <c r="J93" s="4">
        <v>54.75</v>
      </c>
      <c r="K93" s="4">
        <v>52.3</v>
      </c>
      <c r="L93" s="4">
        <v>53.6</v>
      </c>
      <c r="M93" s="4">
        <v>51.79</v>
      </c>
      <c r="N93" s="4">
        <v>53</v>
      </c>
      <c r="O93" s="4">
        <v>54.5</v>
      </c>
      <c r="P93" s="4">
        <v>54.38</v>
      </c>
      <c r="Q93" s="4">
        <v>56.08</v>
      </c>
      <c r="R93" s="4">
        <v>55</v>
      </c>
      <c r="S93" s="4">
        <v>54.37</v>
      </c>
      <c r="T93" s="4">
        <v>54.29</v>
      </c>
      <c r="U93" s="4">
        <v>52.34</v>
      </c>
      <c r="V93" s="4">
        <v>54.38</v>
      </c>
      <c r="W93" s="4">
        <v>55.75</v>
      </c>
      <c r="X93" s="4">
        <v>54.2</v>
      </c>
      <c r="Y93" s="4">
        <v>57.42</v>
      </c>
      <c r="Z93" s="4">
        <v>59</v>
      </c>
      <c r="AA93" s="4">
        <v>59.99</v>
      </c>
      <c r="AB93" s="4">
        <v>58.4</v>
      </c>
      <c r="AC93" s="4">
        <v>60.55</v>
      </c>
      <c r="AD93" s="4">
        <v>60.7</v>
      </c>
      <c r="AE93" s="4">
        <v>62.4</v>
      </c>
      <c r="AF93" s="4">
        <v>65.430000000000007</v>
      </c>
      <c r="AG93" s="4">
        <v>62.42</v>
      </c>
      <c r="AH93" s="4">
        <v>61.24</v>
      </c>
      <c r="AI93" s="4">
        <v>61.59</v>
      </c>
      <c r="AJ93" s="4">
        <v>62.68</v>
      </c>
      <c r="AK93" s="4">
        <v>61.44</v>
      </c>
      <c r="AL93" s="4">
        <v>62.28</v>
      </c>
      <c r="AM93" s="4">
        <v>62.76</v>
      </c>
      <c r="AN93" s="4">
        <v>62.37</v>
      </c>
      <c r="AO93" s="4">
        <v>59.52</v>
      </c>
      <c r="AP93" s="4">
        <v>58.85</v>
      </c>
      <c r="AQ93" s="4">
        <v>57.5</v>
      </c>
      <c r="AR93" s="4">
        <v>56.31</v>
      </c>
      <c r="AS93" s="4">
        <v>55.34</v>
      </c>
      <c r="AT93" s="4">
        <v>54.14</v>
      </c>
      <c r="AU93" s="4">
        <v>55.209999999999987</v>
      </c>
      <c r="AV93" s="4">
        <v>53.2</v>
      </c>
      <c r="AW93" s="4">
        <v>50.9</v>
      </c>
      <c r="AX93" s="4">
        <v>51.64</v>
      </c>
      <c r="AY93" s="12">
        <v>51.84</v>
      </c>
      <c r="AZ93" s="12">
        <v>51.28</v>
      </c>
      <c r="BA93" s="12">
        <v>50.08</v>
      </c>
      <c r="BB93" s="18">
        <v>51.47</v>
      </c>
      <c r="BC93" s="63">
        <v>53.82</v>
      </c>
      <c r="BD93" s="63">
        <v>52.96</v>
      </c>
      <c r="BE93" s="63">
        <v>49.65</v>
      </c>
      <c r="BF93" s="63">
        <v>53.42</v>
      </c>
      <c r="BG93" s="91" cm="1">
        <f t="array" aca="1" ref="BG93" ca="1">_FV(EE93,"Preço")</f>
        <v>54.11</v>
      </c>
      <c r="BH93" s="93" t="s">
        <v>91</v>
      </c>
      <c r="BI93" s="32" cm="1">
        <f t="array" aca="1" ref="BI93" ca="1">_FV(EE93,"Beta")</f>
        <v>0.39290000000000003</v>
      </c>
      <c r="BJ93" s="96" cm="1">
        <f t="array" aca="1" ref="BJ93" ca="1">_FV(EE93,"Variação (%)",TRUE)</f>
        <v>2.1906999999999999E-2</v>
      </c>
      <c r="BK93" s="49"/>
      <c r="BL93" s="49"/>
      <c r="BN93" s="32"/>
      <c r="BO93" s="20" cm="1">
        <f t="array" aca="1" ref="BO93" ca="1">_FV(EE93,"Baixo")</f>
        <v>53.97</v>
      </c>
      <c r="BP93" s="20" cm="1">
        <f t="array" aca="1" ref="BP93" ca="1">_FV(EE93,"Alto")</f>
        <v>55.42</v>
      </c>
      <c r="BQ93" s="32"/>
      <c r="BR93" s="74" t="e">
        <f ca="1">SQRT(22.5*(BG93/VLOOKUP(BH93,Fundamentus!A:U,3,FALSE))*(BG93/VLOOKUP(BH93,Fundamentus!A:U,4,FALSE)))</f>
        <v>#NUM!</v>
      </c>
      <c r="BT93" s="73">
        <f t="shared" ca="1" si="99"/>
        <v>1.2916510670160945E-2</v>
      </c>
      <c r="BU93" s="36">
        <f t="shared" si="100"/>
        <v>-0.16089234409329056</v>
      </c>
      <c r="BV93" s="8"/>
      <c r="BW93" s="72">
        <f t="shared" si="101"/>
        <v>48.65</v>
      </c>
      <c r="BX93" s="72">
        <f t="shared" si="102"/>
        <v>55.56724137931036</v>
      </c>
      <c r="BY93" s="72">
        <f t="shared" si="103"/>
        <v>65.430000000000007</v>
      </c>
      <c r="BZ93" s="17"/>
      <c r="CA93" s="17"/>
      <c r="CB93" s="43">
        <f t="shared" si="104"/>
        <v>48.017678818357361</v>
      </c>
      <c r="CC93" s="18">
        <f t="shared" si="105"/>
        <v>51.321808809746926</v>
      </c>
      <c r="CD93" s="43">
        <f t="shared" si="106"/>
        <v>54.625938801136492</v>
      </c>
      <c r="CE93" s="98">
        <f t="shared" ca="1" si="107"/>
        <v>0.84385033201447612</v>
      </c>
      <c r="CF93" s="17"/>
      <c r="CG93" s="20">
        <f t="shared" si="108"/>
        <v>29.456666666666656</v>
      </c>
      <c r="CH93" s="20">
        <f t="shared" si="109"/>
        <v>39.053333333333327</v>
      </c>
      <c r="CI93" s="20">
        <f t="shared" si="110"/>
        <v>46.236666666666665</v>
      </c>
      <c r="CJ93" s="49">
        <f t="shared" si="111"/>
        <v>55.833333333333336</v>
      </c>
      <c r="CK93" s="20">
        <f t="shared" si="112"/>
        <v>63.016666666666673</v>
      </c>
      <c r="CL93" s="20">
        <f t="shared" si="113"/>
        <v>72.613333333333344</v>
      </c>
      <c r="CM93" s="20">
        <f t="shared" si="114"/>
        <v>79.796666666666681</v>
      </c>
      <c r="CN93" s="2" cm="1">
        <f t="array" aca="1" ref="CN93" ca="1">MAX(_xlfn._xlws.FILTER(CG93:CM93,CG93:CM93&lt;BG93))</f>
        <v>46.236666666666665</v>
      </c>
      <c r="CO93" s="2" cm="1">
        <f t="array" aca="1" ref="CO93" ca="1">MIN(_xlfn._xlws.FILTER($CG93:$CM93,$CG93:$CM93&gt;BG93))</f>
        <v>55.833333333333336</v>
      </c>
      <c r="CP93" s="19">
        <f t="shared" ca="1" si="124"/>
        <v>0.20755533126667158</v>
      </c>
      <c r="CQ93" s="23">
        <f t="shared" ca="1" si="125"/>
        <v>-0.10377766563333579</v>
      </c>
      <c r="CR93" s="23">
        <f t="shared" ca="1" si="126"/>
        <v>-6.9185110422223861E-2</v>
      </c>
      <c r="CS93" s="23">
        <f t="shared" ca="1" si="127"/>
        <v>-4.1511066253334318E-2</v>
      </c>
      <c r="CT93" s="23">
        <f t="shared" ca="1" si="128"/>
        <v>-2.3061703474074619E-2</v>
      </c>
      <c r="CU93" s="23">
        <f t="shared" ca="1" si="129"/>
        <v>-1.2209137133333622E-2</v>
      </c>
      <c r="CV93" s="23">
        <f t="shared" ca="1" si="130"/>
        <v>-6.2895554929294417E-3</v>
      </c>
      <c r="CW93" s="23">
        <f t="shared" ca="1" si="131"/>
        <v>-3.1931589425641784E-3</v>
      </c>
      <c r="CX93" s="24">
        <f t="shared" ca="1" si="132"/>
        <v>3.1931589425641784E-3</v>
      </c>
      <c r="CY93" s="24">
        <f t="shared" ca="1" si="133"/>
        <v>6.2895554929294417E-3</v>
      </c>
      <c r="CZ93" s="24">
        <f t="shared" ca="1" si="134"/>
        <v>1.2209137133333622E-2</v>
      </c>
      <c r="DA93" s="24">
        <f t="shared" ca="1" si="135"/>
        <v>2.3061703474074619E-2</v>
      </c>
      <c r="DB93" s="24">
        <f t="shared" ca="1" si="136"/>
        <v>4.1511066253334318E-2</v>
      </c>
      <c r="DC93" s="24">
        <f t="shared" ca="1" si="137"/>
        <v>6.9185110422223861E-2</v>
      </c>
      <c r="DD93" s="24">
        <f t="shared" ca="1" si="138"/>
        <v>0.10377766563333579</v>
      </c>
      <c r="DF93" s="19" cm="1">
        <f t="array" aca="1" ref="DF93" ca="1">MAX(_xlfn._xlws.FILTER(CQ93:DD93,CQ93:DD93&lt;BJ93))</f>
        <v>1.2209137133333622E-2</v>
      </c>
      <c r="DG93" s="19" cm="1">
        <f t="array" aca="1" ref="DG93" ca="1">MIN(_xlfn._xlws.FILTER(CQ93:DD93,CQ93:DD93&gt;BJ93))</f>
        <v>2.3061703474074619E-2</v>
      </c>
      <c r="DH93" s="2" cm="1">
        <f t="array" aca="1" ref="DH93" ca="1">_FV(EE93,"Fechamento anterior",TRUE)</f>
        <v>52.95</v>
      </c>
      <c r="DI93" s="36">
        <f t="shared" ca="1" si="115"/>
        <v>0.89364325726885718</v>
      </c>
      <c r="DJ93" s="18">
        <f t="shared" ca="1" si="139"/>
        <v>53.596473811210018</v>
      </c>
      <c r="DK93" s="18">
        <f t="shared" ca="1" si="140"/>
        <v>54.171117198952253</v>
      </c>
      <c r="DL93" s="9"/>
      <c r="DM93" s="9"/>
      <c r="DN93" s="9"/>
      <c r="DO93" s="9"/>
      <c r="DP93" s="79">
        <v>8.0201443469339051E-3</v>
      </c>
      <c r="DQ93" s="79">
        <v>1.1613790418941968E-2</v>
      </c>
      <c r="DR93" s="79">
        <v>8.0201443469339051E-3</v>
      </c>
      <c r="DS93" s="79">
        <f t="shared" ca="1" si="116"/>
        <v>1.0852566340740997E-2</v>
      </c>
      <c r="DT93" s="47"/>
      <c r="DU93" s="43">
        <f t="shared" si="117"/>
        <v>1.6520649956947828</v>
      </c>
      <c r="DV93" s="83">
        <f t="shared" ca="1" si="118"/>
        <v>0.81899999999999995</v>
      </c>
      <c r="DW93" s="83">
        <f t="shared" ca="1" si="119"/>
        <v>-1.7978000000000001</v>
      </c>
      <c r="DX93" s="83">
        <f t="shared" ca="1" si="120"/>
        <v>2.6168</v>
      </c>
      <c r="DY93" s="67"/>
      <c r="DZ93" s="67"/>
      <c r="EA93" s="85"/>
      <c r="EB93" s="44">
        <v>10826200</v>
      </c>
      <c r="EC93" s="44" cm="1">
        <f t="array" aca="1" ref="EC93" ca="1">_FV(EE93,"Volume")</f>
        <v>10361000</v>
      </c>
      <c r="EE93" s="2" t="e" vm="93">
        <v>#VALUE!</v>
      </c>
      <c r="EG93" s="10" cm="1">
        <f t="array" aca="1" ref="EG93" ca="1">_FV(EE93,"Ações em circulação",TRUE)</f>
        <v>1264118000</v>
      </c>
      <c r="EH93" s="21">
        <f>VLOOKUP(BH93,Fundamentus!A:U,5,FALSE)</f>
        <v>1.351</v>
      </c>
      <c r="EI93" s="2">
        <f t="shared" ca="1" si="121"/>
        <v>50630218341.96891</v>
      </c>
      <c r="EJ93" s="20">
        <v>-924714948.82309401</v>
      </c>
      <c r="EK93" s="20">
        <f t="shared" ca="1" si="122"/>
        <v>-936659039.32642484</v>
      </c>
      <c r="EM93" s="40" t="str">
        <f>IF(VLOOKUP(BH93,Fundamentus!A:U,3,FALSE)&lt;15,"Bom",IF(VLOOKUP(BH93,Fundamentus!A:U,3,FALSE)&gt;15,"Ruim","n/a"))</f>
        <v>Bom</v>
      </c>
      <c r="EN93" s="36" t="str">
        <f>IF(VLOOKUP(BH93,Fundamentus!A:U,4,FALSE)&lt;1,"Baixo",IF(VLOOKUP(BH93,Fundamentus!A:U,4,FALSE)&lt;1.5,"Moderado",IF(VLOOKUP(BH93,Fundamentus!A:U,4,FALSE)&gt;1.5,"Alto","n/a")))</f>
        <v>Alto</v>
      </c>
      <c r="EO93" s="20" t="str">
        <f>IF(VLOOKUP(BH93,Fundamentus!A:U,8,FALSE)&lt;0,"Risco elevado",IF(VLOOKUP(BH93,Fundamentus!A:U,8,FALSE)&lt;1,"Saudável",IF(VLOOKUP(BH93,Fundamentus!A:U,8,FALSE)&lt;3,"Estável",IF(VLOOKUP(BH93,Fundamentus!A:U,8,FALSE)&gt;3,"Alerta","n/a"))))</f>
        <v>Alerta</v>
      </c>
      <c r="EP93" s="36" t="str">
        <f t="shared" si="123"/>
        <v>Bom</v>
      </c>
      <c r="EQ93" s="20" t="str">
        <f>IF(VLOOKUP(BH93,Fundamentus!A:U,12,FALSE)&lt;2,"Subvalorizada",IF(VLOOKUP(BH93,Fundamentus!A:U,12,FALSE)&lt;6,"Muita barata",IF(VLOOKUP(BH93,Fundamentus!A:U,12,FALSE)&lt;6,"Barata",IF(VLOOKUP(BH93,Fundamentus!A:U,12,FALSE)&lt;8,"Atrativa",IF(VLOOKUP(BH93,Fundamentus!A:U,12,FALSE)&gt;8,"Supervalorizada","n/a")))))</f>
        <v>Muita barata</v>
      </c>
      <c r="ES93" s="20" t="str">
        <f>IF(VLOOKUP(BH93,Fundamentus!A:U,17,FALSE)&lt;0.1,"Fraco retorno",IF(VLOOKUP(BH93,Fundamentus!A:U,17,FALSE)&gt;0.1,"Bom retorno","n/a"))</f>
        <v>Fraco retorno</v>
      </c>
      <c r="ET93" s="20" t="str">
        <f>IF(VLOOKUP(BH93,Fundamentus!A:U,16,FALSE)&lt;0.1,"Ineficiente",IF(VLOOKUP(BH93,Fundamentus!A:U,16,FALSE)&gt;0.1,"Eficiente","n/a"))</f>
        <v>Eficiente</v>
      </c>
      <c r="EU93" s="41" t="str">
        <f>IF(VLOOKUP(BH93,Fundamentus!A:U,16,FALSE)&lt;0.1,"Oper. Ineficiente",IF(VLOOKUP(BH93,Fundamentus!A:U,16,FALSE)&gt;0.1,"Oper.Eficiente","n/a"))</f>
        <v>Oper.Eficiente</v>
      </c>
      <c r="EV93" s="42">
        <f>VLOOKUP(BH93,Fundamentus!A:U,14,FALSE)</f>
        <v>-1.8499999999999999E-2</v>
      </c>
      <c r="EW93" s="20" t="str">
        <f>IF(VLOOKUP(BH93,Fundamentus!A:U,21,FALSE)&lt;0,"Negativo",IF(VLOOKUP(BH93,Fundamentus!A:U,21,FALSE)&lt;0.05,"Fraco",IF(VLOOKUP(BH93,Fundamentus!A:U,21,FALSE)&lt;0.1,"Bom",IF(VLOOKUP(BH93,Fundamentus!A:U,21,FALSE)&gt;0.1,"Muito bom","n/a"))))</f>
        <v>Bom</v>
      </c>
      <c r="EY93" s="37" t="str">
        <f>IF(VLOOKUP(BH93,Fundamentus!A:U,15,FALSE)&gt;1,"Bom",IF(VLOOKUP(BH93,Fundamentus!A:U,15,FALSE)&lt;1,"Ruim","n/a"))</f>
        <v>Bom</v>
      </c>
      <c r="EZ93" s="20" t="str">
        <f>IF(VLOOKUP(BH93,Fundamentus!A:U,20,FALSE)&lt;0.5,"Baixa",IF(VLOOKUP(BH93,Fundamentus!A:U,20,FALSE)&lt;1,"Moderada",IF(VLOOKUP(BH93,Fundamentus!A:U,20,FALSE)&lt;2,"Alerta",IF(VLOOKUP(BH93,Fundamentus!A:U,20,FALSE)&gt;2,"Alta","n/a"))))</f>
        <v>Alta</v>
      </c>
      <c r="FA93" s="10"/>
    </row>
    <row r="94" spans="1:157" s="2" customFormat="1" ht="11.25" hidden="1" x14ac:dyDescent="0.2">
      <c r="A94" s="4">
        <v>26</v>
      </c>
      <c r="B94" s="4">
        <v>28.65</v>
      </c>
      <c r="C94" s="4">
        <v>26.34</v>
      </c>
      <c r="D94" s="4">
        <v>26.69</v>
      </c>
      <c r="E94" s="4">
        <v>26.89</v>
      </c>
      <c r="F94" s="4">
        <v>27.6</v>
      </c>
      <c r="G94" s="4">
        <v>26.4</v>
      </c>
      <c r="H94" s="4">
        <v>26.2</v>
      </c>
      <c r="I94" s="4">
        <v>27.65</v>
      </c>
      <c r="J94" s="4">
        <v>28.31</v>
      </c>
      <c r="K94" s="4">
        <v>29.65</v>
      </c>
      <c r="L94" s="4">
        <v>31</v>
      </c>
      <c r="M94" s="4">
        <v>33.75</v>
      </c>
      <c r="N94" s="4">
        <v>34.1</v>
      </c>
      <c r="O94" s="4">
        <v>36.6</v>
      </c>
      <c r="P94" s="4">
        <v>36.71</v>
      </c>
      <c r="Q94" s="4">
        <v>38.86</v>
      </c>
      <c r="R94" s="4">
        <v>39</v>
      </c>
      <c r="S94" s="4">
        <v>39.18</v>
      </c>
      <c r="T94" s="4">
        <v>41.9</v>
      </c>
      <c r="U94" s="4">
        <v>41.56</v>
      </c>
      <c r="V94" s="4">
        <v>40.200000000000003</v>
      </c>
      <c r="W94" s="4">
        <v>38.909999999999997</v>
      </c>
      <c r="X94" s="4">
        <v>39.58</v>
      </c>
      <c r="Y94" s="4">
        <v>38.39</v>
      </c>
      <c r="Z94" s="4">
        <v>41.07</v>
      </c>
      <c r="AA94" s="4">
        <v>43.87</v>
      </c>
      <c r="AB94" s="4">
        <v>38.69</v>
      </c>
      <c r="AC94" s="4">
        <v>37.369999999999997</v>
      </c>
      <c r="AD94" s="4">
        <v>40.75</v>
      </c>
      <c r="AE94" s="4">
        <v>39.700000000000003</v>
      </c>
      <c r="AF94" s="4">
        <v>39.56</v>
      </c>
      <c r="AG94" s="4">
        <v>37.14</v>
      </c>
      <c r="AH94" s="4">
        <v>36.6</v>
      </c>
      <c r="AI94" s="4">
        <v>37.53</v>
      </c>
      <c r="AJ94" s="4">
        <v>38.78</v>
      </c>
      <c r="AK94" s="4">
        <v>37.21</v>
      </c>
      <c r="AL94" s="4">
        <v>37.22</v>
      </c>
      <c r="AM94" s="4">
        <v>38.090000000000003</v>
      </c>
      <c r="AN94" s="4">
        <v>38.15</v>
      </c>
      <c r="AO94" s="4">
        <v>37.86</v>
      </c>
      <c r="AP94" s="4">
        <v>38.58</v>
      </c>
      <c r="AQ94" s="4">
        <v>38.49</v>
      </c>
      <c r="AR94" s="4">
        <v>37.51</v>
      </c>
      <c r="AS94" s="4">
        <v>37.78</v>
      </c>
      <c r="AT94" s="4">
        <v>37.200000000000003</v>
      </c>
      <c r="AU94" s="4">
        <v>37.744999999999997</v>
      </c>
      <c r="AV94" s="4">
        <v>37.21</v>
      </c>
      <c r="AW94" s="4">
        <v>34.479999999999997</v>
      </c>
      <c r="AX94" s="4">
        <v>32.33</v>
      </c>
      <c r="AY94" s="12">
        <v>33.32</v>
      </c>
      <c r="AZ94" s="12">
        <v>34.68</v>
      </c>
      <c r="BA94" s="12">
        <v>35.28</v>
      </c>
      <c r="BB94" s="18">
        <v>33.08</v>
      </c>
      <c r="BC94" s="63">
        <v>37.44</v>
      </c>
      <c r="BD94" s="63">
        <v>39.47</v>
      </c>
      <c r="BE94" s="63">
        <v>39.590000000000003</v>
      </c>
      <c r="BF94" s="63">
        <v>39.68</v>
      </c>
      <c r="BG94" s="91" cm="1">
        <f t="array" aca="1" ref="BG94" ca="1">_FV(EE94,"Preço")</f>
        <v>40.6</v>
      </c>
      <c r="BH94" s="95" t="s">
        <v>92</v>
      </c>
      <c r="BI94" s="32" cm="1">
        <f t="array" aca="1" ref="BI94" ca="1">_FV(EE94,"Beta")</f>
        <v>8.3799999999999999E-2</v>
      </c>
      <c r="BJ94" s="96" cm="1">
        <f t="array" aca="1" ref="BJ94" ca="1">_FV(EE94,"Variação (%)",TRUE)</f>
        <v>1.4999999999999999E-2</v>
      </c>
      <c r="BK94" s="72"/>
      <c r="BL94" s="72"/>
      <c r="BN94" s="32"/>
      <c r="BO94" s="20" cm="1">
        <f t="array" aca="1" ref="BO94" ca="1">_FV(EE94,"Baixo")</f>
        <v>39.6</v>
      </c>
      <c r="BP94" s="20" cm="1">
        <f t="array" aca="1" ref="BP94" ca="1">_FV(EE94,"Alto")</f>
        <v>40.700000000000003</v>
      </c>
      <c r="BQ94" s="32"/>
      <c r="BR94" s="74">
        <f ca="1">SQRT(22.5*(BG94/VLOOKUP(BH94,Fundamentus!A:U,3,FALSE))*(BG94/VLOOKUP(BH94,Fundamentus!A:U,4,FALSE)))</f>
        <v>58.955855073973559</v>
      </c>
      <c r="BT94" s="73">
        <f t="shared" ca="1" si="99"/>
        <v>2.3185483870967784E-2</v>
      </c>
      <c r="BU94" s="36">
        <f t="shared" si="100"/>
        <v>0.52269230769230779</v>
      </c>
      <c r="BV94" s="8"/>
      <c r="BW94" s="72">
        <f t="shared" si="101"/>
        <v>26</v>
      </c>
      <c r="BX94" s="72">
        <f t="shared" si="102"/>
        <v>35.751293103448262</v>
      </c>
      <c r="BY94" s="72">
        <f t="shared" si="103"/>
        <v>43.87</v>
      </c>
      <c r="BZ94" s="17"/>
      <c r="CA94" s="17"/>
      <c r="CB94" s="43">
        <f t="shared" si="104"/>
        <v>38.885533820658608</v>
      </c>
      <c r="CC94" s="18">
        <f t="shared" si="105"/>
        <v>40.74480787254015</v>
      </c>
      <c r="CD94" s="43">
        <f t="shared" si="106"/>
        <v>42.604081924421692</v>
      </c>
      <c r="CE94" s="98">
        <f t="shared" ca="1" si="107"/>
        <v>-7.7884092661652832E-2</v>
      </c>
      <c r="CF94" s="17"/>
      <c r="CG94" s="20">
        <f t="shared" si="108"/>
        <v>11.293333333333351</v>
      </c>
      <c r="CH94" s="20">
        <f t="shared" si="109"/>
        <v>18.646666666666675</v>
      </c>
      <c r="CI94" s="20">
        <f t="shared" si="110"/>
        <v>29.163333333333348</v>
      </c>
      <c r="CJ94" s="49">
        <f t="shared" si="111"/>
        <v>36.516666666666673</v>
      </c>
      <c r="CK94" s="20">
        <f t="shared" si="112"/>
        <v>47.033333333333346</v>
      </c>
      <c r="CL94" s="20">
        <f t="shared" si="113"/>
        <v>54.38666666666667</v>
      </c>
      <c r="CM94" s="20">
        <f t="shared" si="114"/>
        <v>64.903333333333336</v>
      </c>
      <c r="CN94" s="2" cm="1">
        <f t="array" aca="1" ref="CN94" ca="1">MAX(_xlfn._xlws.FILTER(CG94:CM94,CG94:CM94&lt;BG94))</f>
        <v>36.516666666666673</v>
      </c>
      <c r="CO94" s="2" cm="1">
        <f t="array" aca="1" ref="CO94" ca="1">MIN(_xlfn._xlws.FILTER($CG94:$CM94,$CG94:$CM94&gt;BG94))</f>
        <v>47.033333333333346</v>
      </c>
      <c r="CP94" s="19">
        <f t="shared" ca="1" si="124"/>
        <v>0.2879963486992243</v>
      </c>
      <c r="CQ94" s="23">
        <f t="shared" ca="1" si="125"/>
        <v>-0.14399817434961215</v>
      </c>
      <c r="CR94" s="23">
        <f t="shared" ca="1" si="126"/>
        <v>-9.5998782899741439E-2</v>
      </c>
      <c r="CS94" s="23">
        <f t="shared" ca="1" si="127"/>
        <v>-5.7599269739844861E-2</v>
      </c>
      <c r="CT94" s="23">
        <f t="shared" ca="1" si="128"/>
        <v>-3.1999594299913808E-2</v>
      </c>
      <c r="CU94" s="23">
        <f t="shared" ca="1" si="129"/>
        <v>-1.6940961688189666E-2</v>
      </c>
      <c r="CV94" s="23">
        <f t="shared" ca="1" si="130"/>
        <v>-8.7271620817946753E-3</v>
      </c>
      <c r="CW94" s="23">
        <f t="shared" ca="1" si="131"/>
        <v>-4.4307130569111435E-3</v>
      </c>
      <c r="CX94" s="24">
        <f t="shared" ca="1" si="132"/>
        <v>4.4307130569111435E-3</v>
      </c>
      <c r="CY94" s="24">
        <f t="shared" ca="1" si="133"/>
        <v>8.7271620817946753E-3</v>
      </c>
      <c r="CZ94" s="24">
        <f t="shared" ca="1" si="134"/>
        <v>1.6940961688189666E-2</v>
      </c>
      <c r="DA94" s="24">
        <f t="shared" ca="1" si="135"/>
        <v>3.1999594299913808E-2</v>
      </c>
      <c r="DB94" s="24">
        <f t="shared" ca="1" si="136"/>
        <v>5.7599269739844861E-2</v>
      </c>
      <c r="DC94" s="24">
        <f t="shared" ca="1" si="137"/>
        <v>9.5998782899741439E-2</v>
      </c>
      <c r="DD94" s="24">
        <f t="shared" ca="1" si="138"/>
        <v>0.14399817434961215</v>
      </c>
      <c r="DF94" s="19" cm="1">
        <f t="array" aca="1" ref="DF94" ca="1">MAX(_xlfn._xlws.FILTER(CQ94:DD94,CQ94:DD94&lt;BJ94))</f>
        <v>8.7271620817946753E-3</v>
      </c>
      <c r="DG94" s="19" cm="1">
        <f t="array" aca="1" ref="DG94" ca="1">MIN(_xlfn._xlws.FILTER(CQ94:DD94,CQ94:DD94&gt;BJ94))</f>
        <v>1.6940961688189666E-2</v>
      </c>
      <c r="DH94" s="2" cm="1">
        <f t="array" aca="1" ref="DH94" ca="1">_FV(EE94,"Fechamento anterior",TRUE)</f>
        <v>40</v>
      </c>
      <c r="DI94" s="36">
        <f t="shared" ca="1" si="115"/>
        <v>0.76369502773375708</v>
      </c>
      <c r="DJ94" s="18">
        <f t="shared" ca="1" si="139"/>
        <v>40.34908648327179</v>
      </c>
      <c r="DK94" s="18">
        <f t="shared" ca="1" si="140"/>
        <v>40.677638467527586</v>
      </c>
      <c r="DL94" s="9"/>
      <c r="DM94" s="9"/>
      <c r="DN94" s="9"/>
      <c r="DO94" s="9"/>
      <c r="DP94" s="79">
        <v>1.6568733122399551E-2</v>
      </c>
      <c r="DQ94" s="79">
        <v>4.6877452891168391E-3</v>
      </c>
      <c r="DR94" s="79">
        <v>8.9618659938998368E-3</v>
      </c>
      <c r="DS94" s="79">
        <f t="shared" ca="1" si="116"/>
        <v>8.2137996063949906E-3</v>
      </c>
      <c r="DT94" s="47"/>
      <c r="DU94" s="43">
        <f t="shared" si="117"/>
        <v>0.92963702594077136</v>
      </c>
      <c r="DV94" s="83">
        <f t="shared" ca="1" si="118"/>
        <v>0.50990000000000002</v>
      </c>
      <c r="DW94" s="83">
        <f t="shared" ca="1" si="119"/>
        <v>-1.4161999999999999</v>
      </c>
      <c r="DX94" s="83">
        <f t="shared" ca="1" si="120"/>
        <v>1.9260999999999999</v>
      </c>
      <c r="DY94" s="67"/>
      <c r="DZ94" s="67"/>
      <c r="EA94" s="85"/>
      <c r="EB94" s="44">
        <v>7400</v>
      </c>
      <c r="EC94" s="44" cm="1">
        <f t="array" aca="1" ref="EC94" ca="1">_FV(EE94,"Volume")</f>
        <v>6800</v>
      </c>
      <c r="EE94" s="2" t="e" vm="94">
        <v>#VALUE!</v>
      </c>
      <c r="EG94" s="10" cm="1">
        <f t="array" aca="1" ref="EG94" ca="1">_FV(EE94,"Ações em circulação",TRUE)</f>
        <v>104831600</v>
      </c>
      <c r="EH94" s="21">
        <f>VLOOKUP(BH94,Fundamentus!A:U,5,FALSE)</f>
        <v>0</v>
      </c>
      <c r="EI94" s="2" t="e">
        <f t="shared" ca="1" si="121"/>
        <v>#DIV/0!</v>
      </c>
      <c r="EJ94" s="20" t="e">
        <v>#DIV/0!</v>
      </c>
      <c r="EK94" s="20" t="e">
        <f t="shared" ca="1" si="122"/>
        <v>#DIV/0!</v>
      </c>
      <c r="EM94" s="40" t="str">
        <f>IF(VLOOKUP(BH94,Fundamentus!A:U,3,FALSE)&lt;15,"Bom",IF(VLOOKUP(BH94,Fundamentus!A:U,3,FALSE)&gt;15,"Ruim","n/a"))</f>
        <v>Bom</v>
      </c>
      <c r="EN94" s="36" t="str">
        <f>IF(VLOOKUP(BH94,Fundamentus!A:U,4,FALSE)&lt;1,"Baixo",IF(VLOOKUP(BH94,Fundamentus!A:U,4,FALSE)&lt;1.5,"Moderado",IF(VLOOKUP(BH94,Fundamentus!A:U,4,FALSE)&gt;1.5,"Alto","n/a")))</f>
        <v>Alto</v>
      </c>
      <c r="EO94" s="20" t="str">
        <f>IF(VLOOKUP(BH94,Fundamentus!A:U,8,FALSE)&lt;0,"Risco elevado",IF(VLOOKUP(BH94,Fundamentus!A:U,8,FALSE)&lt;1,"Saudável",IF(VLOOKUP(BH94,Fundamentus!A:U,8,FALSE)&lt;3,"Estável",IF(VLOOKUP(BH94,Fundamentus!A:U,8,FALSE)&gt;3,"Alerta","n/a"))))</f>
        <v>Saudável</v>
      </c>
      <c r="EP94" s="36" t="str">
        <f t="shared" si="123"/>
        <v>Ruim</v>
      </c>
      <c r="EQ94" s="20" t="str">
        <f>IF(VLOOKUP(BH94,Fundamentus!A:U,12,FALSE)&lt;2,"Subvalorizada",IF(VLOOKUP(BH94,Fundamentus!A:U,12,FALSE)&lt;6,"Muita barata",IF(VLOOKUP(BH94,Fundamentus!A:U,12,FALSE)&lt;6,"Barata",IF(VLOOKUP(BH94,Fundamentus!A:U,12,FALSE)&lt;8,"Atrativa",IF(VLOOKUP(BH94,Fundamentus!A:U,12,FALSE)&gt;8,"Supervalorizada","n/a")))))</f>
        <v>Subvalorizada</v>
      </c>
      <c r="ES94" s="20" t="str">
        <f>IF(VLOOKUP(BH94,Fundamentus!A:U,17,FALSE)&lt;0.1,"Fraco retorno",IF(VLOOKUP(BH94,Fundamentus!A:U,17,FALSE)&gt;0.1,"Bom retorno","n/a"))</f>
        <v>Bom retorno</v>
      </c>
      <c r="ET94" s="20" t="str">
        <f>IF(VLOOKUP(BH94,Fundamentus!A:U,16,FALSE)&lt;0.1,"Ineficiente",IF(VLOOKUP(BH94,Fundamentus!A:U,16,FALSE)&gt;0.1,"Eficiente","n/a"))</f>
        <v>Ineficiente</v>
      </c>
      <c r="EU94" s="41" t="str">
        <f>IF(VLOOKUP(BH94,Fundamentus!A:U,16,FALSE)&lt;0.1,"Oper. Ineficiente",IF(VLOOKUP(BH94,Fundamentus!A:U,16,FALSE)&gt;0.1,"Oper.Eficiente","n/a"))</f>
        <v>Oper. Ineficiente</v>
      </c>
      <c r="EV94" s="42">
        <f>VLOOKUP(BH94,Fundamentus!A:U,14,FALSE)</f>
        <v>0</v>
      </c>
      <c r="EW94" s="20" t="str">
        <f>IF(VLOOKUP(BH94,Fundamentus!A:U,21,FALSE)&lt;0,"Negativo",IF(VLOOKUP(BH94,Fundamentus!A:U,21,FALSE)&lt;0.05,"Fraco",IF(VLOOKUP(BH94,Fundamentus!A:U,21,FALSE)&lt;0.1,"Bom",IF(VLOOKUP(BH94,Fundamentus!A:U,21,FALSE)&gt;0.1,"Muito bom","n/a"))))</f>
        <v>Muito bom</v>
      </c>
      <c r="EY94" s="37" t="str">
        <f>IF(VLOOKUP(BH94,Fundamentus!A:U,15,FALSE)&gt;1,"Bom",IF(VLOOKUP(BH94,Fundamentus!A:U,15,FALSE)&lt;1,"Ruim","n/a"))</f>
        <v>Ruim</v>
      </c>
      <c r="EZ94" s="20" t="str">
        <f>IF(VLOOKUP(BH94,Fundamentus!A:U,20,FALSE)&lt;0.5,"Baixa",IF(VLOOKUP(BH94,Fundamentus!A:U,20,FALSE)&lt;1,"Moderada",IF(VLOOKUP(BH94,Fundamentus!A:U,20,FALSE)&lt;2,"Alerta",IF(VLOOKUP(BH94,Fundamentus!A:U,20,FALSE)&gt;2,"Alta","n/a"))))</f>
        <v>Baixa</v>
      </c>
      <c r="FA94" s="10"/>
    </row>
    <row r="95" spans="1:157" s="2" customFormat="1" ht="11.25" hidden="1" x14ac:dyDescent="0.2">
      <c r="A95" s="4">
        <v>8.9</v>
      </c>
      <c r="B95" s="4">
        <v>8.26</v>
      </c>
      <c r="C95" s="4">
        <v>8.67</v>
      </c>
      <c r="D95" s="4">
        <v>8.35</v>
      </c>
      <c r="E95" s="4">
        <v>8.1300000000000008</v>
      </c>
      <c r="F95" s="4">
        <v>8.26</v>
      </c>
      <c r="G95" s="4">
        <v>8.33</v>
      </c>
      <c r="H95" s="4">
        <v>8.1999999999999993</v>
      </c>
      <c r="I95" s="4">
        <v>8.32</v>
      </c>
      <c r="J95" s="4">
        <v>8.65</v>
      </c>
      <c r="K95" s="4">
        <v>9.1</v>
      </c>
      <c r="L95" s="4">
        <v>8.94</v>
      </c>
      <c r="M95" s="4">
        <v>9.0500000000000007</v>
      </c>
      <c r="N95" s="4">
        <v>9.0399999999999991</v>
      </c>
      <c r="O95" s="4">
        <v>9.2899999999999991</v>
      </c>
      <c r="P95" s="4">
        <v>9.36</v>
      </c>
      <c r="Q95" s="4">
        <v>9.66</v>
      </c>
      <c r="R95" s="4">
        <v>9.3800000000000008</v>
      </c>
      <c r="S95" s="4">
        <v>9.65</v>
      </c>
      <c r="T95" s="4">
        <v>9.7899999999999991</v>
      </c>
      <c r="U95" s="4">
        <v>9.4</v>
      </c>
      <c r="V95" s="4">
        <v>9.09</v>
      </c>
      <c r="W95" s="4">
        <v>9</v>
      </c>
      <c r="X95" s="4">
        <v>9</v>
      </c>
      <c r="Y95" s="4">
        <v>8.7899999999999991</v>
      </c>
      <c r="Z95" s="4">
        <v>8.6999999999999993</v>
      </c>
      <c r="AA95" s="4">
        <v>8.52</v>
      </c>
      <c r="AB95" s="4">
        <v>8.3800000000000008</v>
      </c>
      <c r="AC95" s="4">
        <v>8.5399999999999991</v>
      </c>
      <c r="AD95" s="4">
        <v>8.36</v>
      </c>
      <c r="AE95" s="4">
        <v>8.66</v>
      </c>
      <c r="AF95" s="4">
        <v>8.6</v>
      </c>
      <c r="AG95" s="4">
        <v>8.26</v>
      </c>
      <c r="AH95" s="4">
        <v>8.14</v>
      </c>
      <c r="AI95" s="4">
        <v>8.26</v>
      </c>
      <c r="AJ95" s="4">
        <v>8.1</v>
      </c>
      <c r="AK95" s="4">
        <v>7.93</v>
      </c>
      <c r="AL95" s="4">
        <v>8.32</v>
      </c>
      <c r="AM95" s="4">
        <v>8.32</v>
      </c>
      <c r="AN95" s="4">
        <v>8.67</v>
      </c>
      <c r="AO95" s="4">
        <v>8.77</v>
      </c>
      <c r="AP95" s="4">
        <v>9.2899999999999991</v>
      </c>
      <c r="AQ95" s="4">
        <v>9.18</v>
      </c>
      <c r="AR95" s="4">
        <v>8.91</v>
      </c>
      <c r="AS95" s="4">
        <v>8.9</v>
      </c>
      <c r="AT95" s="4">
        <v>9.42</v>
      </c>
      <c r="AU95" s="4">
        <v>9.4699999999999989</v>
      </c>
      <c r="AV95" s="4">
        <v>9.44</v>
      </c>
      <c r="AW95" s="4">
        <v>9.56</v>
      </c>
      <c r="AX95" s="4">
        <v>9.6300000000000008</v>
      </c>
      <c r="AY95" s="12">
        <v>9.9600000000000009</v>
      </c>
      <c r="AZ95" s="12">
        <v>10.25</v>
      </c>
      <c r="BA95" s="12">
        <v>10.44</v>
      </c>
      <c r="BB95" s="18">
        <v>10.99</v>
      </c>
      <c r="BC95" s="63">
        <v>11.48</v>
      </c>
      <c r="BD95" s="63">
        <v>11.44</v>
      </c>
      <c r="BE95" s="63">
        <v>11.66</v>
      </c>
      <c r="BF95" s="63">
        <v>11.51</v>
      </c>
      <c r="BG95" s="91" cm="1">
        <f t="array" aca="1" ref="BG95" ca="1">_FV(EE95,"Preço")</f>
        <v>11.56</v>
      </c>
      <c r="BH95" s="93" t="s">
        <v>93</v>
      </c>
      <c r="BI95" s="32" cm="1">
        <f t="array" aca="1" ref="BI95" ca="1">_FV(EE95,"Beta")</f>
        <v>0.85450000000000004</v>
      </c>
      <c r="BJ95" s="96" cm="1">
        <f t="array" aca="1" ref="BJ95" ca="1">_FV(EE95,"Variação (%)",TRUE)</f>
        <v>0</v>
      </c>
      <c r="BK95" s="49"/>
      <c r="BL95" s="49"/>
      <c r="BN95" s="32"/>
      <c r="BO95" s="20" cm="1">
        <f t="array" aca="1" ref="BO95" ca="1">_FV(EE95,"Baixo")</f>
        <v>11.36</v>
      </c>
      <c r="BP95" s="20" cm="1">
        <f t="array" aca="1" ref="BP95" ca="1">_FV(EE95,"Alto")</f>
        <v>11.57</v>
      </c>
      <c r="BQ95" s="32"/>
      <c r="BR95" s="74">
        <f ca="1">SQRT(22.5*(BG95/VLOOKUP(BH95,Fundamentus!A:U,3,FALSE))*(BG95/VLOOKUP(BH95,Fundamentus!A:U,4,FALSE)))</f>
        <v>14.108289182116778</v>
      </c>
      <c r="BT95" s="73">
        <f t="shared" ca="1" si="99"/>
        <v>4.3440486533449793E-3</v>
      </c>
      <c r="BU95" s="36">
        <f t="shared" si="100"/>
        <v>0.31011235955056177</v>
      </c>
      <c r="BV95" s="8"/>
      <c r="BW95" s="72">
        <f t="shared" si="101"/>
        <v>7.93</v>
      </c>
      <c r="BX95" s="72">
        <f t="shared" si="102"/>
        <v>9.115000000000002</v>
      </c>
      <c r="BY95" s="72">
        <f t="shared" si="103"/>
        <v>11.66</v>
      </c>
      <c r="BZ95" s="17"/>
      <c r="CA95" s="17"/>
      <c r="CB95" s="43">
        <f t="shared" si="104"/>
        <v>11.431167725599742</v>
      </c>
      <c r="CC95" s="18">
        <f t="shared" si="105"/>
        <v>11.597525773195883</v>
      </c>
      <c r="CD95" s="43">
        <f t="shared" si="106"/>
        <v>11.763883820792024</v>
      </c>
      <c r="CE95" s="98">
        <f t="shared" ca="1" si="107"/>
        <v>-0.22557233472096472</v>
      </c>
      <c r="CF95" s="17"/>
      <c r="CG95" s="20">
        <f t="shared" si="108"/>
        <v>5.3433333333333337</v>
      </c>
      <c r="CH95" s="20">
        <f t="shared" si="109"/>
        <v>6.6366666666666667</v>
      </c>
      <c r="CI95" s="20">
        <f t="shared" si="110"/>
        <v>9.0733333333333341</v>
      </c>
      <c r="CJ95" s="49">
        <f t="shared" si="111"/>
        <v>10.366666666666667</v>
      </c>
      <c r="CK95" s="20">
        <f t="shared" si="112"/>
        <v>12.803333333333335</v>
      </c>
      <c r="CL95" s="20">
        <f t="shared" si="113"/>
        <v>14.096666666666668</v>
      </c>
      <c r="CM95" s="20">
        <f t="shared" si="114"/>
        <v>16.533333333333335</v>
      </c>
      <c r="CN95" s="2" cm="1">
        <f t="array" aca="1" ref="CN95" ca="1">MAX(_xlfn._xlws.FILTER(CG95:CM95,CG95:CM95&lt;BG95))</f>
        <v>10.366666666666667</v>
      </c>
      <c r="CO95" s="2" cm="1">
        <f t="array" aca="1" ref="CO95" ca="1">MIN(_xlfn._xlws.FILTER($CG95:$CM95,$CG95:$CM95&gt;BG95))</f>
        <v>12.803333333333335</v>
      </c>
      <c r="CP95" s="19">
        <f t="shared" ca="1" si="124"/>
        <v>0.23504823151125409</v>
      </c>
      <c r="CQ95" s="23">
        <f t="shared" ca="1" si="125"/>
        <v>-0.11752411575562705</v>
      </c>
      <c r="CR95" s="23">
        <f t="shared" ca="1" si="126"/>
        <v>-7.8349410503751368E-2</v>
      </c>
      <c r="CS95" s="23">
        <f t="shared" ca="1" si="127"/>
        <v>-4.7009646302250817E-2</v>
      </c>
      <c r="CT95" s="23">
        <f t="shared" ca="1" si="128"/>
        <v>-2.611647016791712E-2</v>
      </c>
      <c r="CU95" s="23">
        <f t="shared" ca="1" si="129"/>
        <v>-1.3826366559485534E-2</v>
      </c>
      <c r="CV95" s="23">
        <f t="shared" ca="1" si="130"/>
        <v>-7.1226736821592149E-3</v>
      </c>
      <c r="CW95" s="23">
        <f t="shared" ca="1" si="131"/>
        <v>-3.6161266386346784E-3</v>
      </c>
      <c r="CX95" s="24">
        <f t="shared" ca="1" si="132"/>
        <v>3.6161266386346784E-3</v>
      </c>
      <c r="CY95" s="24">
        <f t="shared" ca="1" si="133"/>
        <v>7.1226736821592149E-3</v>
      </c>
      <c r="CZ95" s="24">
        <f t="shared" ca="1" si="134"/>
        <v>1.3826366559485534E-2</v>
      </c>
      <c r="DA95" s="24">
        <f t="shared" ca="1" si="135"/>
        <v>2.611647016791712E-2</v>
      </c>
      <c r="DB95" s="24">
        <f t="shared" ca="1" si="136"/>
        <v>4.7009646302250817E-2</v>
      </c>
      <c r="DC95" s="24">
        <f t="shared" ca="1" si="137"/>
        <v>7.8349410503751368E-2</v>
      </c>
      <c r="DD95" s="24">
        <f t="shared" ca="1" si="138"/>
        <v>0.11752411575562705</v>
      </c>
      <c r="DF95" s="19" cm="1">
        <f t="array" aca="1" ref="DF95" ca="1">MAX(_xlfn._xlws.FILTER(CQ95:DD95,CQ95:DD95&lt;BJ95))</f>
        <v>-3.6161266386346784E-3</v>
      </c>
      <c r="DG95" s="19" cm="1">
        <f t="array" aca="1" ref="DG95" ca="1">MIN(_xlfn._xlws.FILTER(CQ95:DD95,CQ95:DD95&gt;BJ95))</f>
        <v>3.6161266386346784E-3</v>
      </c>
      <c r="DH95" s="2" cm="1">
        <f t="array" aca="1" ref="DH95" ca="1">_FV(EE95,"Fechamento anterior",TRUE)</f>
        <v>11.56</v>
      </c>
      <c r="DI95" s="36">
        <f t="shared" ca="1" si="115"/>
        <v>0.5</v>
      </c>
      <c r="DJ95" s="18">
        <f t="shared" ca="1" si="139"/>
        <v>11.518197576057384</v>
      </c>
      <c r="DK95" s="18">
        <f t="shared" ca="1" si="140"/>
        <v>11.601802423942617</v>
      </c>
      <c r="DL95" s="9"/>
      <c r="DM95" s="9"/>
      <c r="DN95" s="9"/>
      <c r="DO95" s="9"/>
      <c r="DP95" s="79">
        <v>5.7452142739989219E-3</v>
      </c>
      <c r="DQ95" s="79">
        <v>2.9171591690422649E-3</v>
      </c>
      <c r="DR95" s="79">
        <v>2.9171591690422649E-3</v>
      </c>
      <c r="DS95" s="79">
        <f t="shared" ca="1" si="116"/>
        <v>7.2322532772693569E-3</v>
      </c>
      <c r="DT95" s="47"/>
      <c r="DU95" s="43">
        <f t="shared" si="117"/>
        <v>8.3179023798070767E-2</v>
      </c>
      <c r="DV95" s="83">
        <f t="shared" ca="1" si="118"/>
        <v>1.2806</v>
      </c>
      <c r="DW95" s="83">
        <f t="shared" ca="1" si="119"/>
        <v>0.85450000000000004</v>
      </c>
      <c r="DX95" s="83">
        <f t="shared" ca="1" si="120"/>
        <v>0.42609999999999992</v>
      </c>
      <c r="DY95" s="67"/>
      <c r="DZ95" s="67"/>
      <c r="EA95" s="85"/>
      <c r="EB95" s="44">
        <v>7227900</v>
      </c>
      <c r="EC95" s="44" cm="1">
        <f t="array" aca="1" ref="EC95" ca="1">_FV(EE95,"Volume")</f>
        <v>2133200</v>
      </c>
      <c r="EE95" s="2" t="e" vm="95">
        <v>#VALUE!</v>
      </c>
      <c r="EG95" s="10" cm="1">
        <f t="array" aca="1" ref="EG95" ca="1">_FV(EE95,"Ações em circulação",TRUE)</f>
        <v>2982811000</v>
      </c>
      <c r="EH95" s="21">
        <f>VLOOKUP(BH95,Fundamentus!A:U,5,FALSE)</f>
        <v>1.4790000000000001</v>
      </c>
      <c r="EI95" s="2">
        <f t="shared" ca="1" si="121"/>
        <v>23313925057.471264</v>
      </c>
      <c r="EJ95" s="20">
        <v>2941098031.8370519</v>
      </c>
      <c r="EK95" s="20">
        <f t="shared" ca="1" si="122"/>
        <v>2953874304.7816095</v>
      </c>
      <c r="EM95" s="40" t="str">
        <f>IF(VLOOKUP(BH95,Fundamentus!A:U,3,FALSE)&lt;15,"Bom",IF(VLOOKUP(BH95,Fundamentus!A:U,3,FALSE)&gt;15,"Ruim","n/a"))</f>
        <v>Bom</v>
      </c>
      <c r="EN95" s="36" t="str">
        <f>IF(VLOOKUP(BH95,Fundamentus!A:U,4,FALSE)&lt;1,"Baixo",IF(VLOOKUP(BH95,Fundamentus!A:U,4,FALSE)&lt;1.5,"Moderado",IF(VLOOKUP(BH95,Fundamentus!A:U,4,FALSE)&gt;1.5,"Alto","n/a")))</f>
        <v>Moderado</v>
      </c>
      <c r="EO95" s="20" t="str">
        <f>IF(VLOOKUP(BH95,Fundamentus!A:U,8,FALSE)&lt;0,"Risco elevado",IF(VLOOKUP(BH95,Fundamentus!A:U,8,FALSE)&lt;1,"Saudável",IF(VLOOKUP(BH95,Fundamentus!A:U,8,FALSE)&lt;3,"Estável",IF(VLOOKUP(BH95,Fundamentus!A:U,8,FALSE)&gt;3,"Alerta","n/a"))))</f>
        <v>Alerta</v>
      </c>
      <c r="EP95" s="36" t="str">
        <f t="shared" si="123"/>
        <v>Bom</v>
      </c>
      <c r="EQ95" s="20" t="str">
        <f>IF(VLOOKUP(BH95,Fundamentus!A:U,12,FALSE)&lt;2,"Subvalorizada",IF(VLOOKUP(BH95,Fundamentus!A:U,12,FALSE)&lt;6,"Muita barata",IF(VLOOKUP(BH95,Fundamentus!A:U,12,FALSE)&lt;6,"Barata",IF(VLOOKUP(BH95,Fundamentus!A:U,12,FALSE)&lt;8,"Atrativa",IF(VLOOKUP(BH95,Fundamentus!A:U,12,FALSE)&gt;8,"Supervalorizada","n/a")))))</f>
        <v>Supervalorizada</v>
      </c>
      <c r="ES95" s="20" t="str">
        <f>IF(VLOOKUP(BH95,Fundamentus!A:U,17,FALSE)&lt;0.1,"Fraco retorno",IF(VLOOKUP(BH95,Fundamentus!A:U,17,FALSE)&gt;0.1,"Bom retorno","n/a"))</f>
        <v>Bom retorno</v>
      </c>
      <c r="ET95" s="20" t="str">
        <f>IF(VLOOKUP(BH95,Fundamentus!A:U,16,FALSE)&lt;0.1,"Ineficiente",IF(VLOOKUP(BH95,Fundamentus!A:U,16,FALSE)&gt;0.1,"Eficiente","n/a"))</f>
        <v>Ineficiente</v>
      </c>
      <c r="EU95" s="41" t="str">
        <f>IF(VLOOKUP(BH95,Fundamentus!A:U,16,FALSE)&lt;0.1,"Oper. Ineficiente",IF(VLOOKUP(BH95,Fundamentus!A:U,16,FALSE)&gt;0.1,"Oper.Eficiente","n/a"))</f>
        <v>Oper. Ineficiente</v>
      </c>
      <c r="EV95" s="42">
        <f>VLOOKUP(BH95,Fundamentus!A:U,14,FALSE)</f>
        <v>0.12670000000000001</v>
      </c>
      <c r="EW95" s="20" t="str">
        <f>IF(VLOOKUP(BH95,Fundamentus!A:U,21,FALSE)&lt;0,"Negativo",IF(VLOOKUP(BH95,Fundamentus!A:U,21,FALSE)&lt;0.05,"Fraco",IF(VLOOKUP(BH95,Fundamentus!A:U,21,FALSE)&lt;0.1,"Bom",IF(VLOOKUP(BH95,Fundamentus!A:U,21,FALSE)&gt;0.1,"Muito bom","n/a"))))</f>
        <v>Fraco</v>
      </c>
      <c r="EY95" s="37" t="str">
        <f>IF(VLOOKUP(BH95,Fundamentus!A:U,15,FALSE)&gt;1,"Bom",IF(VLOOKUP(BH95,Fundamentus!A:U,15,FALSE)&lt;1,"Ruim","n/a"))</f>
        <v>Bom</v>
      </c>
      <c r="EZ95" s="20" t="str">
        <f>IF(VLOOKUP(BH95,Fundamentus!A:U,20,FALSE)&lt;0.5,"Baixa",IF(VLOOKUP(BH95,Fundamentus!A:U,20,FALSE)&lt;1,"Moderada",IF(VLOOKUP(BH95,Fundamentus!A:U,20,FALSE)&lt;2,"Alerta",IF(VLOOKUP(BH95,Fundamentus!A:U,20,FALSE)&gt;2,"Alta","n/a"))))</f>
        <v>Moderada</v>
      </c>
      <c r="FA95" s="10"/>
    </row>
    <row r="96" spans="1:157" s="2" customFormat="1" ht="11.25" hidden="1" x14ac:dyDescent="0.2">
      <c r="A96" s="4">
        <v>42.01</v>
      </c>
      <c r="B96" s="4">
        <v>44.47</v>
      </c>
      <c r="C96" s="4">
        <v>38.57</v>
      </c>
      <c r="D96" s="4">
        <v>38.380000000000003</v>
      </c>
      <c r="E96" s="4">
        <v>40.700000000000003</v>
      </c>
      <c r="F96" s="4">
        <v>38.590000000000003</v>
      </c>
      <c r="G96" s="4">
        <v>36.630000000000003</v>
      </c>
      <c r="H96" s="4">
        <v>38.31</v>
      </c>
      <c r="I96" s="4">
        <v>40.28</v>
      </c>
      <c r="J96" s="4">
        <v>40.28</v>
      </c>
      <c r="K96" s="4">
        <v>40.880000000000003</v>
      </c>
      <c r="L96" s="4">
        <v>41.71</v>
      </c>
      <c r="M96" s="4">
        <v>40.85</v>
      </c>
      <c r="N96" s="4">
        <v>38.64</v>
      </c>
      <c r="O96" s="4">
        <v>39.36</v>
      </c>
      <c r="P96" s="4">
        <v>41.58</v>
      </c>
      <c r="Q96" s="4">
        <v>39.39</v>
      </c>
      <c r="R96" s="4">
        <v>42.94</v>
      </c>
      <c r="S96" s="4">
        <v>41.13</v>
      </c>
      <c r="T96" s="4">
        <v>40.369999999999997</v>
      </c>
      <c r="U96" s="4">
        <v>39.700000000000003</v>
      </c>
      <c r="V96" s="4">
        <v>39.520000000000003</v>
      </c>
      <c r="W96" s="4">
        <v>41.36</v>
      </c>
      <c r="X96" s="4">
        <v>41.44</v>
      </c>
      <c r="Y96" s="4">
        <v>39.450000000000003</v>
      </c>
      <c r="Z96" s="4">
        <v>39.4</v>
      </c>
      <c r="AA96" s="4">
        <v>38.299999999999997</v>
      </c>
      <c r="AB96" s="4">
        <v>38.92</v>
      </c>
      <c r="AC96" s="4">
        <v>40.51</v>
      </c>
      <c r="AD96" s="4">
        <v>43.24</v>
      </c>
      <c r="AE96" s="4">
        <v>42.51</v>
      </c>
      <c r="AF96" s="4">
        <v>42.11</v>
      </c>
      <c r="AG96" s="4">
        <v>41.07</v>
      </c>
      <c r="AH96" s="4">
        <v>40.020000000000003</v>
      </c>
      <c r="AI96" s="4">
        <v>38.840000000000003</v>
      </c>
      <c r="AJ96" s="4">
        <v>40.380000000000003</v>
      </c>
      <c r="AK96" s="4">
        <v>40.92</v>
      </c>
      <c r="AL96" s="4">
        <v>41.6</v>
      </c>
      <c r="AM96" s="4">
        <v>40.630000000000003</v>
      </c>
      <c r="AN96" s="4">
        <v>41.65</v>
      </c>
      <c r="AO96" s="4">
        <v>39.700000000000003</v>
      </c>
      <c r="AP96" s="4">
        <v>40.85</v>
      </c>
      <c r="AQ96" s="4">
        <v>42.26</v>
      </c>
      <c r="AR96" s="4">
        <v>39.049999999999997</v>
      </c>
      <c r="AS96" s="4">
        <v>37.42</v>
      </c>
      <c r="AT96" s="4">
        <v>38.409999999999997</v>
      </c>
      <c r="AU96" s="4">
        <v>40.22</v>
      </c>
      <c r="AV96" s="4">
        <v>41.07</v>
      </c>
      <c r="AW96" s="4">
        <v>37.729999999999997</v>
      </c>
      <c r="AX96" s="4">
        <v>33.92</v>
      </c>
      <c r="AY96" s="12">
        <v>33.17</v>
      </c>
      <c r="AZ96" s="12">
        <v>32.67</v>
      </c>
      <c r="BA96" s="12">
        <v>32.049999999999997</v>
      </c>
      <c r="BB96" s="18">
        <v>33.03</v>
      </c>
      <c r="BC96" s="63">
        <v>34.19</v>
      </c>
      <c r="BD96" s="63">
        <v>33.479999999999997</v>
      </c>
      <c r="BE96" s="63">
        <v>32.909999999999997</v>
      </c>
      <c r="BF96" s="63">
        <v>31.57</v>
      </c>
      <c r="BG96" s="91" cm="1">
        <f t="array" aca="1" ref="BG96" ca="1">_FV(EE96,"Preço")</f>
        <v>34.979999999999997</v>
      </c>
      <c r="BH96" s="93" t="s">
        <v>94</v>
      </c>
      <c r="BI96" s="32" cm="1">
        <f t="array" aca="1" ref="BI96" ca="1">_FV(EE96,"Beta")</f>
        <v>0.99929999999999997</v>
      </c>
      <c r="BJ96" s="96" cm="1">
        <f t="array" aca="1" ref="BJ96" ca="1">_FV(EE96,"Variação (%)",TRUE)</f>
        <v>2.1314000000000003E-2</v>
      </c>
      <c r="BK96" s="49"/>
      <c r="BL96" s="49"/>
      <c r="BN96" s="32"/>
      <c r="BO96" s="20" cm="1">
        <f t="array" aca="1" ref="BO96" ca="1">_FV(EE96,"Baixo")</f>
        <v>34.82</v>
      </c>
      <c r="BP96" s="20" cm="1">
        <f t="array" aca="1" ref="BP96" ca="1">_FV(EE96,"Alto")</f>
        <v>35.78</v>
      </c>
      <c r="BQ96" s="32"/>
      <c r="BR96" s="74">
        <f ca="1">SQRT(22.5*(BG96/VLOOKUP(BH96,Fundamentus!A:U,3,FALSE))*(BG96/VLOOKUP(BH96,Fundamentus!A:U,4,FALSE)))</f>
        <v>56.820864839551241</v>
      </c>
      <c r="BT96" s="73">
        <f t="shared" ca="1" si="99"/>
        <v>0.10801393728222985</v>
      </c>
      <c r="BU96" s="36">
        <f t="shared" si="100"/>
        <v>-0.21661509164484652</v>
      </c>
      <c r="BV96" s="8"/>
      <c r="BW96" s="72">
        <f t="shared" si="101"/>
        <v>31.57</v>
      </c>
      <c r="BX96" s="72">
        <f t="shared" si="102"/>
        <v>39.143793103448289</v>
      </c>
      <c r="BY96" s="72">
        <f t="shared" si="103"/>
        <v>44.47</v>
      </c>
      <c r="BZ96" s="17"/>
      <c r="CA96" s="17"/>
      <c r="CB96" s="43">
        <f t="shared" si="104"/>
        <v>29.07555202819939</v>
      </c>
      <c r="CC96" s="18">
        <f t="shared" si="105"/>
        <v>30.997497656982887</v>
      </c>
      <c r="CD96" s="43">
        <f t="shared" si="106"/>
        <v>32.919443285766384</v>
      </c>
      <c r="CE96" s="98">
        <f t="shared" ca="1" si="107"/>
        <v>2.0721201907974107</v>
      </c>
      <c r="CF96" s="17"/>
      <c r="CG96" s="20">
        <f t="shared" si="108"/>
        <v>14.369999999999997</v>
      </c>
      <c r="CH96" s="20">
        <f t="shared" si="109"/>
        <v>22.97</v>
      </c>
      <c r="CI96" s="20">
        <f t="shared" si="110"/>
        <v>27.269999999999996</v>
      </c>
      <c r="CJ96" s="49">
        <f t="shared" si="111"/>
        <v>35.869999999999997</v>
      </c>
      <c r="CK96" s="20">
        <f t="shared" si="112"/>
        <v>40.169999999999995</v>
      </c>
      <c r="CL96" s="20">
        <f t="shared" si="113"/>
        <v>48.769999999999996</v>
      </c>
      <c r="CM96" s="20">
        <f t="shared" si="114"/>
        <v>53.069999999999993</v>
      </c>
      <c r="CN96" s="2" cm="1">
        <f t="array" aca="1" ref="CN96" ca="1">MAX(_xlfn._xlws.FILTER(CG96:CM96,CG96:CM96&lt;BG96))</f>
        <v>27.269999999999996</v>
      </c>
      <c r="CO96" s="2" cm="1">
        <f t="array" aca="1" ref="CO96" ca="1">MIN(_xlfn._xlws.FILTER($CG96:$CM96,$CG96:$CM96&gt;BG96))</f>
        <v>35.869999999999997</v>
      </c>
      <c r="CP96" s="19">
        <f t="shared" ca="1" si="124"/>
        <v>0.31536486982031553</v>
      </c>
      <c r="CQ96" s="23">
        <f t="shared" ca="1" si="125"/>
        <v>-0.15768243491015776</v>
      </c>
      <c r="CR96" s="23">
        <f t="shared" ca="1" si="126"/>
        <v>-0.10512162327343851</v>
      </c>
      <c r="CS96" s="23">
        <f t="shared" ca="1" si="127"/>
        <v>-6.3072973964063112E-2</v>
      </c>
      <c r="CT96" s="23">
        <f t="shared" ca="1" si="128"/>
        <v>-3.5040541091146168E-2</v>
      </c>
      <c r="CU96" s="23">
        <f t="shared" ca="1" si="129"/>
        <v>-1.8550874695312677E-2</v>
      </c>
      <c r="CV96" s="23">
        <f t="shared" ca="1" si="130"/>
        <v>-9.5565112066762284E-3</v>
      </c>
      <c r="CW96" s="23">
        <f t="shared" ca="1" si="131"/>
        <v>-4.8517672280048545E-3</v>
      </c>
      <c r="CX96" s="24">
        <f t="shared" ca="1" si="132"/>
        <v>4.8517672280048545E-3</v>
      </c>
      <c r="CY96" s="24">
        <f t="shared" ca="1" si="133"/>
        <v>9.5565112066762284E-3</v>
      </c>
      <c r="CZ96" s="24">
        <f t="shared" ca="1" si="134"/>
        <v>1.8550874695312677E-2</v>
      </c>
      <c r="DA96" s="24">
        <f t="shared" ca="1" si="135"/>
        <v>3.5040541091146168E-2</v>
      </c>
      <c r="DB96" s="24">
        <f t="shared" ca="1" si="136"/>
        <v>6.3072973964063112E-2</v>
      </c>
      <c r="DC96" s="24">
        <f t="shared" ca="1" si="137"/>
        <v>0.10512162327343851</v>
      </c>
      <c r="DD96" s="24">
        <f t="shared" ca="1" si="138"/>
        <v>0.15768243491015776</v>
      </c>
      <c r="DF96" s="19" cm="1">
        <f t="array" aca="1" ref="DF96" ca="1">MAX(_xlfn._xlws.FILTER(CQ96:DD96,CQ96:DD96&lt;BJ96))</f>
        <v>1.8550874695312677E-2</v>
      </c>
      <c r="DG96" s="19" cm="1">
        <f t="array" aca="1" ref="DG96" ca="1">MIN(_xlfn._xlws.FILTER(CQ96:DD96,CQ96:DD96&gt;BJ96))</f>
        <v>3.5040541091146168E-2</v>
      </c>
      <c r="DH96" s="2" cm="1">
        <f t="array" aca="1" ref="DH96" ca="1">_FV(EE96,"Fechamento anterior",TRUE)</f>
        <v>34.25</v>
      </c>
      <c r="DI96" s="36">
        <f t="shared" ca="1" si="115"/>
        <v>0.16755911560005807</v>
      </c>
      <c r="DJ96" s="18">
        <f t="shared" ca="1" si="139"/>
        <v>34.885367458314462</v>
      </c>
      <c r="DK96" s="18">
        <f t="shared" ca="1" si="140"/>
        <v>35.450138532371753</v>
      </c>
      <c r="DL96" s="9"/>
      <c r="DM96" s="9"/>
      <c r="DN96" s="9"/>
      <c r="DO96" s="9"/>
      <c r="DP96" s="79">
        <v>8.473180566203822E-3</v>
      </c>
      <c r="DQ96" s="79">
        <v>7.8539285105632597E-3</v>
      </c>
      <c r="DR96" s="79">
        <v>8.3890163730039116E-3</v>
      </c>
      <c r="DS96" s="79">
        <f t="shared" ca="1" si="116"/>
        <v>1.6489666395833491E-2</v>
      </c>
      <c r="DT96" s="47"/>
      <c r="DU96" s="43">
        <f t="shared" si="117"/>
        <v>0.96097281439174853</v>
      </c>
      <c r="DV96" s="83">
        <f t="shared" ca="1" si="118"/>
        <v>1.4254</v>
      </c>
      <c r="DW96" s="83">
        <f t="shared" ca="1" si="119"/>
        <v>-1.1321000000000003</v>
      </c>
      <c r="DX96" s="83">
        <f t="shared" ca="1" si="120"/>
        <v>2.5575000000000001</v>
      </c>
      <c r="DY96" s="67"/>
      <c r="DZ96" s="67"/>
      <c r="EA96" s="85"/>
      <c r="EB96" s="44">
        <v>9608800</v>
      </c>
      <c r="EC96" s="44" cm="1">
        <f t="array" aca="1" ref="EC96" ca="1">_FV(EE96,"Volume")</f>
        <v>21204100</v>
      </c>
      <c r="EE96" s="2" t="e" vm="96">
        <v>#VALUE!</v>
      </c>
      <c r="EG96" s="10" cm="1">
        <f t="array" aca="1" ref="EG96" ca="1">_FV(EE96,"Ações em circulação",TRUE)</f>
        <v>12888730000</v>
      </c>
      <c r="EH96" s="21">
        <f>VLOOKUP(BH96,Fundamentus!A:U,5,FALSE)</f>
        <v>0.81</v>
      </c>
      <c r="EI96" s="2">
        <f t="shared" ca="1" si="121"/>
        <v>556602191851.85168</v>
      </c>
      <c r="EJ96" s="20">
        <v>49129070069.851845</v>
      </c>
      <c r="EK96" s="20">
        <f t="shared" ca="1" si="122"/>
        <v>54435694363.111092</v>
      </c>
      <c r="EM96" s="40" t="str">
        <f>IF(VLOOKUP(BH96,Fundamentus!A:U,3,FALSE)&lt;15,"Bom",IF(VLOOKUP(BH96,Fundamentus!A:U,3,FALSE)&gt;15,"Ruim","n/a"))</f>
        <v>Bom</v>
      </c>
      <c r="EN96" s="36" t="str">
        <f>IF(VLOOKUP(BH96,Fundamentus!A:U,4,FALSE)&lt;1,"Baixo",IF(VLOOKUP(BH96,Fundamentus!A:U,4,FALSE)&lt;1.5,"Moderado",IF(VLOOKUP(BH96,Fundamentus!A:U,4,FALSE)&gt;1.5,"Alto","n/a")))</f>
        <v>Moderado</v>
      </c>
      <c r="EO96" s="20" t="str">
        <f>IF(VLOOKUP(BH96,Fundamentus!A:U,8,FALSE)&lt;0,"Risco elevado",IF(VLOOKUP(BH96,Fundamentus!A:U,8,FALSE)&lt;1,"Saudável",IF(VLOOKUP(BH96,Fundamentus!A:U,8,FALSE)&lt;3,"Estável",IF(VLOOKUP(BH96,Fundamentus!A:U,8,FALSE)&gt;3,"Alerta","n/a"))))</f>
        <v>Risco elevado</v>
      </c>
      <c r="EP96" s="36" t="str">
        <f t="shared" si="123"/>
        <v>Ruim</v>
      </c>
      <c r="EQ96" s="20" t="str">
        <f>IF(VLOOKUP(BH96,Fundamentus!A:U,12,FALSE)&lt;2,"Subvalorizada",IF(VLOOKUP(BH96,Fundamentus!A:U,12,FALSE)&lt;6,"Muita barata",IF(VLOOKUP(BH96,Fundamentus!A:U,12,FALSE)&lt;6,"Barata",IF(VLOOKUP(BH96,Fundamentus!A:U,12,FALSE)&lt;8,"Atrativa",IF(VLOOKUP(BH96,Fundamentus!A:U,12,FALSE)&gt;8,"Supervalorizada","n/a")))))</f>
        <v>Muita barata</v>
      </c>
      <c r="ES96" s="20" t="str">
        <f>IF(VLOOKUP(BH96,Fundamentus!A:U,17,FALSE)&lt;0.1,"Fraco retorno",IF(VLOOKUP(BH96,Fundamentus!A:U,17,FALSE)&gt;0.1,"Bom retorno","n/a"))</f>
        <v>Bom retorno</v>
      </c>
      <c r="ET96" s="20" t="str">
        <f>IF(VLOOKUP(BH96,Fundamentus!A:U,16,FALSE)&lt;0.1,"Ineficiente",IF(VLOOKUP(BH96,Fundamentus!A:U,16,FALSE)&gt;0.1,"Eficiente","n/a"))</f>
        <v>Eficiente</v>
      </c>
      <c r="EU96" s="41" t="str">
        <f>IF(VLOOKUP(BH96,Fundamentus!A:U,16,FALSE)&lt;0.1,"Oper. Ineficiente",IF(VLOOKUP(BH96,Fundamentus!A:U,16,FALSE)&gt;0.1,"Oper.Eficiente","n/a"))</f>
        <v>Oper.Eficiente</v>
      </c>
      <c r="EV96" s="42">
        <f>VLOOKUP(BH96,Fundamentus!A:U,14,FALSE)</f>
        <v>9.7799999999999998E-2</v>
      </c>
      <c r="EW96" s="20" t="str">
        <f>IF(VLOOKUP(BH96,Fundamentus!A:U,21,FALSE)&lt;0,"Negativo",IF(VLOOKUP(BH96,Fundamentus!A:U,21,FALSE)&lt;0.05,"Fraco",IF(VLOOKUP(BH96,Fundamentus!A:U,21,FALSE)&lt;0.1,"Bom",IF(VLOOKUP(BH96,Fundamentus!A:U,21,FALSE)&gt;0.1,"Muito bom","n/a"))))</f>
        <v>Muito bom</v>
      </c>
      <c r="EY96" s="37" t="str">
        <f>IF(VLOOKUP(BH96,Fundamentus!A:U,15,FALSE)&gt;1,"Bom",IF(VLOOKUP(BH96,Fundamentus!A:U,15,FALSE)&lt;1,"Ruim","n/a"))</f>
        <v>Ruim</v>
      </c>
      <c r="EZ96" s="20" t="str">
        <f>IF(VLOOKUP(BH96,Fundamentus!A:U,20,FALSE)&lt;0.5,"Baixa",IF(VLOOKUP(BH96,Fundamentus!A:U,20,FALSE)&lt;1,"Moderada",IF(VLOOKUP(BH96,Fundamentus!A:U,20,FALSE)&lt;2,"Alerta",IF(VLOOKUP(BH96,Fundamentus!A:U,20,FALSE)&gt;2,"Alta","n/a"))))</f>
        <v>Moderada</v>
      </c>
      <c r="FA96" s="10"/>
    </row>
    <row r="97" spans="1:157" s="2" customFormat="1" ht="11.25" hidden="1" x14ac:dyDescent="0.2">
      <c r="A97" s="4">
        <v>12.49</v>
      </c>
      <c r="B97" s="4">
        <v>11.96</v>
      </c>
      <c r="C97" s="4">
        <v>12.02</v>
      </c>
      <c r="D97" s="4">
        <v>11.65</v>
      </c>
      <c r="E97" s="4">
        <v>11.45</v>
      </c>
      <c r="F97" s="4">
        <v>11.48</v>
      </c>
      <c r="G97" s="4">
        <v>11.38</v>
      </c>
      <c r="H97" s="4">
        <v>11.14</v>
      </c>
      <c r="I97" s="4">
        <v>11.19</v>
      </c>
      <c r="J97" s="4">
        <v>11.32</v>
      </c>
      <c r="K97" s="4">
        <v>11.56</v>
      </c>
      <c r="L97" s="4">
        <v>11.46</v>
      </c>
      <c r="M97" s="4">
        <v>11.33</v>
      </c>
      <c r="N97" s="4">
        <v>11.33</v>
      </c>
      <c r="O97" s="4">
        <v>13.03</v>
      </c>
      <c r="P97" s="4">
        <v>13.32</v>
      </c>
      <c r="Q97" s="4">
        <v>14.2</v>
      </c>
      <c r="R97" s="4">
        <v>14.14</v>
      </c>
      <c r="S97" s="4">
        <v>14.17</v>
      </c>
      <c r="T97" s="4">
        <v>13.95</v>
      </c>
      <c r="U97" s="4">
        <v>13.25</v>
      </c>
      <c r="V97" s="4">
        <v>13.24</v>
      </c>
      <c r="W97" s="4">
        <v>13.29</v>
      </c>
      <c r="X97" s="4">
        <v>12.99</v>
      </c>
      <c r="Y97" s="4">
        <v>13.18</v>
      </c>
      <c r="Z97" s="4">
        <v>13.11</v>
      </c>
      <c r="AA97" s="4">
        <v>12.52</v>
      </c>
      <c r="AB97" s="4">
        <v>12.05</v>
      </c>
      <c r="AC97" s="4">
        <v>12.02</v>
      </c>
      <c r="AD97" s="4">
        <v>12.14</v>
      </c>
      <c r="AE97" s="4">
        <v>11.13</v>
      </c>
      <c r="AF97" s="4">
        <v>11.12</v>
      </c>
      <c r="AG97" s="4">
        <v>11.06</v>
      </c>
      <c r="AH97" s="4">
        <v>10.61</v>
      </c>
      <c r="AI97" s="4">
        <v>10.65</v>
      </c>
      <c r="AJ97" s="4">
        <v>10.32</v>
      </c>
      <c r="AK97" s="4">
        <v>10.31</v>
      </c>
      <c r="AL97" s="4">
        <v>10.65</v>
      </c>
      <c r="AM97" s="4">
        <v>10.42</v>
      </c>
      <c r="AN97" s="4">
        <v>11.02</v>
      </c>
      <c r="AO97" s="4">
        <v>10.88</v>
      </c>
      <c r="AP97" s="4">
        <v>11.11</v>
      </c>
      <c r="AQ97" s="4">
        <v>10.88</v>
      </c>
      <c r="AR97" s="4">
        <v>10.36</v>
      </c>
      <c r="AS97" s="4">
        <v>10.74</v>
      </c>
      <c r="AT97" s="4">
        <v>11.09</v>
      </c>
      <c r="AU97" s="4">
        <v>11.3</v>
      </c>
      <c r="AV97" s="4">
        <v>11.62</v>
      </c>
      <c r="AW97" s="4">
        <v>11.17</v>
      </c>
      <c r="AX97" s="4">
        <v>11.18</v>
      </c>
      <c r="AY97" s="12">
        <v>11.42</v>
      </c>
      <c r="AZ97" s="12">
        <v>11.97</v>
      </c>
      <c r="BA97" s="12">
        <v>12.23</v>
      </c>
      <c r="BB97" s="18">
        <v>13.4</v>
      </c>
      <c r="BC97" s="63">
        <v>13.4</v>
      </c>
      <c r="BD97" s="63">
        <v>13.53</v>
      </c>
      <c r="BE97" s="63">
        <v>13.98</v>
      </c>
      <c r="BF97" s="63">
        <v>13.78</v>
      </c>
      <c r="BG97" s="91" cm="1">
        <f t="array" aca="1" ref="BG97" ca="1">_FV(EE97,"Preço")</f>
        <v>14.11</v>
      </c>
      <c r="BH97" s="93" t="s">
        <v>95</v>
      </c>
      <c r="BI97" s="32" cm="1">
        <f t="array" aca="1" ref="BI97" ca="1">_FV(EE97,"Beta")</f>
        <v>1.488</v>
      </c>
      <c r="BJ97" s="96" cm="1">
        <f t="array" aca="1" ref="BJ97" ca="1">_FV(EE97,"Variação (%)",TRUE)</f>
        <v>-1.1904999999999999E-2</v>
      </c>
      <c r="BK97" s="49"/>
      <c r="BL97" s="49"/>
      <c r="BN97" s="32"/>
      <c r="BO97" s="20" cm="1">
        <f t="array" aca="1" ref="BO97" ca="1">_FV(EE97,"Baixo")</f>
        <v>13.96</v>
      </c>
      <c r="BP97" s="20" cm="1">
        <f t="array" aca="1" ref="BP97" ca="1">_FV(EE97,"Alto")</f>
        <v>14.25</v>
      </c>
      <c r="BQ97" s="32"/>
      <c r="BR97" s="74">
        <f ca="1">SQRT(22.5*(BG97/VLOOKUP(BH97,Fundamentus!A:U,3,FALSE))*(BG97/VLOOKUP(BH97,Fundamentus!A:U,4,FALSE)))</f>
        <v>26.700593746225813</v>
      </c>
      <c r="BT97" s="73">
        <f t="shared" ca="1" si="99"/>
        <v>2.3947750362844709E-2</v>
      </c>
      <c r="BU97" s="36">
        <f t="shared" si="100"/>
        <v>0.11929543634907928</v>
      </c>
      <c r="BV97" s="8"/>
      <c r="BW97" s="72">
        <f t="shared" si="101"/>
        <v>10.31</v>
      </c>
      <c r="BX97" s="72">
        <f t="shared" si="102"/>
        <v>11.960172413793101</v>
      </c>
      <c r="BY97" s="72">
        <f t="shared" si="103"/>
        <v>14.2</v>
      </c>
      <c r="BZ97" s="17"/>
      <c r="CA97" s="17"/>
      <c r="CB97" s="43">
        <f t="shared" si="104"/>
        <v>13.612969574363387</v>
      </c>
      <c r="CC97" s="18">
        <f t="shared" si="105"/>
        <v>14.06093720712272</v>
      </c>
      <c r="CD97" s="43">
        <f t="shared" si="106"/>
        <v>14.508904839882053</v>
      </c>
      <c r="CE97" s="98">
        <f t="shared" ca="1" si="107"/>
        <v>0.10952307552907092</v>
      </c>
      <c r="CF97" s="17"/>
      <c r="CG97" s="20">
        <f t="shared" si="108"/>
        <v>7.4366666666666692</v>
      </c>
      <c r="CH97" s="20">
        <f t="shared" si="109"/>
        <v>8.8733333333333348</v>
      </c>
      <c r="CI97" s="20">
        <f t="shared" si="110"/>
        <v>11.326666666666668</v>
      </c>
      <c r="CJ97" s="49">
        <f t="shared" si="111"/>
        <v>12.763333333333334</v>
      </c>
      <c r="CK97" s="20">
        <f t="shared" si="112"/>
        <v>15.216666666666667</v>
      </c>
      <c r="CL97" s="20">
        <f t="shared" si="113"/>
        <v>16.653333333333332</v>
      </c>
      <c r="CM97" s="20">
        <f t="shared" si="114"/>
        <v>19.106666666666666</v>
      </c>
      <c r="CN97" s="2" cm="1">
        <f t="array" aca="1" ref="CN97" ca="1">MAX(_xlfn._xlws.FILTER(CG97:CM97,CG97:CM97&lt;BG97))</f>
        <v>12.763333333333334</v>
      </c>
      <c r="CO97" s="2" cm="1">
        <f t="array" aca="1" ref="CO97" ca="1">MIN(_xlfn._xlws.FILTER($CG97:$CM97,$CG97:$CM97&gt;BG97))</f>
        <v>15.216666666666667</v>
      </c>
      <c r="CP97" s="19">
        <f t="shared" ca="1" si="124"/>
        <v>0.19221728910942804</v>
      </c>
      <c r="CQ97" s="23">
        <f t="shared" ca="1" si="125"/>
        <v>-9.6108644554714018E-2</v>
      </c>
      <c r="CR97" s="23">
        <f t="shared" ca="1" si="126"/>
        <v>-6.4072429703142683E-2</v>
      </c>
      <c r="CS97" s="23">
        <f t="shared" ca="1" si="127"/>
        <v>-3.8443457821885609E-2</v>
      </c>
      <c r="CT97" s="23">
        <f t="shared" ca="1" si="128"/>
        <v>-2.1357476567714227E-2</v>
      </c>
      <c r="CU97" s="23">
        <f t="shared" ca="1" si="129"/>
        <v>-1.130689935937812E-2</v>
      </c>
      <c r="CV97" s="23">
        <f t="shared" ca="1" si="130"/>
        <v>-5.8247663366493346E-3</v>
      </c>
      <c r="CW97" s="23">
        <f t="shared" ca="1" si="131"/>
        <v>-2.9571890632219696E-3</v>
      </c>
      <c r="CX97" s="24">
        <f t="shared" ca="1" si="132"/>
        <v>2.9571890632219696E-3</v>
      </c>
      <c r="CY97" s="24">
        <f t="shared" ca="1" si="133"/>
        <v>5.8247663366493346E-3</v>
      </c>
      <c r="CZ97" s="24">
        <f t="shared" ca="1" si="134"/>
        <v>1.130689935937812E-2</v>
      </c>
      <c r="DA97" s="24">
        <f t="shared" ca="1" si="135"/>
        <v>2.1357476567714227E-2</v>
      </c>
      <c r="DB97" s="24">
        <f t="shared" ca="1" si="136"/>
        <v>3.8443457821885609E-2</v>
      </c>
      <c r="DC97" s="24">
        <f t="shared" ca="1" si="137"/>
        <v>6.4072429703142683E-2</v>
      </c>
      <c r="DD97" s="24">
        <f t="shared" ca="1" si="138"/>
        <v>9.6108644554714018E-2</v>
      </c>
      <c r="DF97" s="19" cm="1">
        <f t="array" aca="1" ref="DF97" ca="1">MAX(_xlfn._xlws.FILTER(CQ97:DD97,CQ97:DD97&lt;BJ97))</f>
        <v>-2.1357476567714227E-2</v>
      </c>
      <c r="DG97" s="19" cm="1">
        <f t="array" aca="1" ref="DG97" ca="1">MIN(_xlfn._xlws.FILTER(CQ97:DD97,CQ97:DD97&gt;BJ97))</f>
        <v>-1.130689935937812E-2</v>
      </c>
      <c r="DH97" s="2" cm="1">
        <f t="array" aca="1" ref="DH97" ca="1">_FV(EE97,"Fechamento anterior",TRUE)</f>
        <v>14.28</v>
      </c>
      <c r="DI97" s="36">
        <f t="shared" ca="1" si="115"/>
        <v>0.94051460597826519</v>
      </c>
      <c r="DJ97" s="18">
        <f t="shared" ca="1" si="139"/>
        <v>13.975015234613041</v>
      </c>
      <c r="DK97" s="18">
        <f t="shared" ca="1" si="140"/>
        <v>14.118537477148079</v>
      </c>
      <c r="DL97" s="9"/>
      <c r="DM97" s="9"/>
      <c r="DN97" s="9"/>
      <c r="DO97" s="9"/>
      <c r="DP97" s="79">
        <v>4.6789035024329137E-3</v>
      </c>
      <c r="DQ97" s="79">
        <v>4.6789035024329137E-3</v>
      </c>
      <c r="DR97" s="79">
        <v>5.0478170478170476E-3</v>
      </c>
      <c r="DS97" s="79">
        <f t="shared" ca="1" si="116"/>
        <v>1.0050577208336107E-2</v>
      </c>
      <c r="DT97" s="47"/>
      <c r="DU97" s="43">
        <f t="shared" si="117"/>
        <v>0.22398381637966619</v>
      </c>
      <c r="DV97" s="83">
        <f t="shared" ca="1" si="118"/>
        <v>1.9140999999999999</v>
      </c>
      <c r="DW97" s="83">
        <f t="shared" ca="1" si="119"/>
        <v>2.6784999999999997</v>
      </c>
      <c r="DX97" s="83">
        <f t="shared" ca="1" si="120"/>
        <v>-0.76439999999999975</v>
      </c>
      <c r="DY97" s="67"/>
      <c r="DZ97" s="67"/>
      <c r="EA97" s="85"/>
      <c r="EB97" s="44">
        <v>5552500</v>
      </c>
      <c r="EC97" s="44" cm="1">
        <f t="array" aca="1" ref="EC97" ca="1">_FV(EE97,"Volume")</f>
        <v>12497900</v>
      </c>
      <c r="EE97" s="2" t="e" vm="97">
        <v>#VALUE!</v>
      </c>
      <c r="EG97" s="10" cm="1">
        <f t="array" aca="1" ref="EG97" ca="1">_FV(EE97,"Ações em circulação",TRUE)</f>
        <v>10592010000</v>
      </c>
      <c r="EH97" s="21">
        <f>VLOOKUP(BH97,Fundamentus!A:U,5,FALSE)</f>
        <v>0</v>
      </c>
      <c r="EI97" s="2" t="e">
        <f t="shared" ca="1" si="121"/>
        <v>#DIV/0!</v>
      </c>
      <c r="EJ97" s="20" t="e">
        <v>#DIV/0!</v>
      </c>
      <c r="EK97" s="20" t="e">
        <f t="shared" ca="1" si="122"/>
        <v>#DIV/0!</v>
      </c>
      <c r="EM97" s="40" t="str">
        <f>IF(VLOOKUP(BH97,Fundamentus!A:U,3,FALSE)&lt;15,"Bom",IF(VLOOKUP(BH97,Fundamentus!A:U,3,FALSE)&gt;15,"Ruim","n/a"))</f>
        <v>Bom</v>
      </c>
      <c r="EN97" s="36" t="str">
        <f>IF(VLOOKUP(BH97,Fundamentus!A:U,4,FALSE)&lt;1,"Baixo",IF(VLOOKUP(BH97,Fundamentus!A:U,4,FALSE)&lt;1.5,"Moderado",IF(VLOOKUP(BH97,Fundamentus!A:U,4,FALSE)&gt;1.5,"Alto","n/a")))</f>
        <v>Baixo</v>
      </c>
      <c r="EO97" s="20" t="str">
        <f>IF(VLOOKUP(BH97,Fundamentus!A:U,8,FALSE)&lt;0,"Risco elevado",IF(VLOOKUP(BH97,Fundamentus!A:U,8,FALSE)&lt;1,"Saudável",IF(VLOOKUP(BH97,Fundamentus!A:U,8,FALSE)&lt;3,"Estável",IF(VLOOKUP(BH97,Fundamentus!A:U,8,FALSE)&gt;3,"Alerta","n/a"))))</f>
        <v>Saudável</v>
      </c>
      <c r="EP97" s="36" t="str">
        <f t="shared" si="123"/>
        <v>Ruim</v>
      </c>
      <c r="EQ97" s="20" t="str">
        <f>IF(VLOOKUP(BH97,Fundamentus!A:U,12,FALSE)&lt;2,"Subvalorizada",IF(VLOOKUP(BH97,Fundamentus!A:U,12,FALSE)&lt;6,"Muita barata",IF(VLOOKUP(BH97,Fundamentus!A:U,12,FALSE)&lt;6,"Barata",IF(VLOOKUP(BH97,Fundamentus!A:U,12,FALSE)&lt;8,"Atrativa",IF(VLOOKUP(BH97,Fundamentus!A:U,12,FALSE)&gt;8,"Supervalorizada","n/a")))))</f>
        <v>Subvalorizada</v>
      </c>
      <c r="ES97" s="20" t="str">
        <f>IF(VLOOKUP(BH97,Fundamentus!A:U,17,FALSE)&lt;0.1,"Fraco retorno",IF(VLOOKUP(BH97,Fundamentus!A:U,17,FALSE)&gt;0.1,"Bom retorno","n/a"))</f>
        <v>Bom retorno</v>
      </c>
      <c r="ET97" s="20" t="str">
        <f>IF(VLOOKUP(BH97,Fundamentus!A:U,16,FALSE)&lt;0.1,"Ineficiente",IF(VLOOKUP(BH97,Fundamentus!A:U,16,FALSE)&gt;0.1,"Eficiente","n/a"))</f>
        <v>Ineficiente</v>
      </c>
      <c r="EU97" s="41" t="str">
        <f>IF(VLOOKUP(BH97,Fundamentus!A:U,16,FALSE)&lt;0.1,"Oper. Ineficiente",IF(VLOOKUP(BH97,Fundamentus!A:U,16,FALSE)&gt;0.1,"Oper.Eficiente","n/a"))</f>
        <v>Oper. Ineficiente</v>
      </c>
      <c r="EV97" s="42">
        <f>VLOOKUP(BH97,Fundamentus!A:U,14,FALSE)</f>
        <v>0</v>
      </c>
      <c r="EW97" s="20" t="str">
        <f>IF(VLOOKUP(BH97,Fundamentus!A:U,21,FALSE)&lt;0,"Negativo",IF(VLOOKUP(BH97,Fundamentus!A:U,21,FALSE)&lt;0.05,"Fraco",IF(VLOOKUP(BH97,Fundamentus!A:U,21,FALSE)&lt;0.1,"Bom",IF(VLOOKUP(BH97,Fundamentus!A:U,21,FALSE)&gt;0.1,"Muito bom","n/a"))))</f>
        <v>Negativo</v>
      </c>
      <c r="EY97" s="37" t="str">
        <f>IF(VLOOKUP(BH97,Fundamentus!A:U,15,FALSE)&gt;1,"Bom",IF(VLOOKUP(BH97,Fundamentus!A:U,15,FALSE)&lt;1,"Ruim","n/a"))</f>
        <v>Ruim</v>
      </c>
      <c r="EZ97" s="20" t="str">
        <f>IF(VLOOKUP(BH97,Fundamentus!A:U,20,FALSE)&lt;0.5,"Baixa",IF(VLOOKUP(BH97,Fundamentus!A:U,20,FALSE)&lt;1,"Moderada",IF(VLOOKUP(BH97,Fundamentus!A:U,20,FALSE)&lt;2,"Alerta",IF(VLOOKUP(BH97,Fundamentus!A:U,20,FALSE)&gt;2,"Alta","n/a"))))</f>
        <v>Baixa</v>
      </c>
      <c r="FA97" s="10"/>
    </row>
    <row r="98" spans="1:157" s="2" customFormat="1" ht="11.25" hidden="1" x14ac:dyDescent="0.2">
      <c r="A98" s="4">
        <v>7.03</v>
      </c>
      <c r="B98" s="4">
        <v>6.7</v>
      </c>
      <c r="C98" s="4">
        <v>6.9</v>
      </c>
      <c r="D98" s="4">
        <v>7.01</v>
      </c>
      <c r="E98" s="4">
        <v>6.52</v>
      </c>
      <c r="F98" s="4">
        <v>6.3</v>
      </c>
      <c r="G98" s="4">
        <v>6.13</v>
      </c>
      <c r="H98" s="4">
        <v>6.26</v>
      </c>
      <c r="I98" s="4">
        <v>6.34</v>
      </c>
      <c r="J98" s="4">
        <v>6.52</v>
      </c>
      <c r="K98" s="4">
        <v>6.54</v>
      </c>
      <c r="L98" s="4">
        <v>6.59</v>
      </c>
      <c r="M98" s="4">
        <v>6.32</v>
      </c>
      <c r="N98" s="4">
        <v>6.78</v>
      </c>
      <c r="O98" s="4">
        <v>7.1</v>
      </c>
      <c r="P98" s="4">
        <v>6.73</v>
      </c>
      <c r="Q98" s="4">
        <v>6.95</v>
      </c>
      <c r="R98" s="4">
        <v>7.35</v>
      </c>
      <c r="S98" s="4">
        <v>7.9</v>
      </c>
      <c r="T98" s="4">
        <v>8</v>
      </c>
      <c r="U98" s="4">
        <v>7.83</v>
      </c>
      <c r="V98" s="4">
        <v>8.0500000000000007</v>
      </c>
      <c r="W98" s="4">
        <v>8.0299999999999994</v>
      </c>
      <c r="X98" s="4">
        <v>8.11</v>
      </c>
      <c r="Y98" s="4">
        <v>8.75</v>
      </c>
      <c r="Z98" s="4">
        <v>8.5500000000000007</v>
      </c>
      <c r="AA98" s="4">
        <v>8.32</v>
      </c>
      <c r="AB98" s="4">
        <v>8.8800000000000008</v>
      </c>
      <c r="AC98" s="4">
        <v>9.42</v>
      </c>
      <c r="AD98" s="4">
        <v>9.56</v>
      </c>
      <c r="AE98" s="4">
        <v>8.5500000000000007</v>
      </c>
      <c r="AF98" s="4">
        <v>8.36</v>
      </c>
      <c r="AG98" s="4">
        <v>8.41</v>
      </c>
      <c r="AH98" s="4">
        <v>7.3</v>
      </c>
      <c r="AI98" s="4">
        <v>7.38</v>
      </c>
      <c r="AJ98" s="4">
        <v>7.35</v>
      </c>
      <c r="AK98" s="4">
        <v>7.31</v>
      </c>
      <c r="AL98" s="4">
        <v>7.91</v>
      </c>
      <c r="AM98" s="4">
        <v>8.32</v>
      </c>
      <c r="AN98" s="4">
        <v>8.33</v>
      </c>
      <c r="AO98" s="4">
        <v>8.0500000000000007</v>
      </c>
      <c r="AP98" s="4">
        <v>8.4600000000000009</v>
      </c>
      <c r="AQ98" s="4">
        <v>8.0500000000000007</v>
      </c>
      <c r="AR98" s="4">
        <v>7.35</v>
      </c>
      <c r="AS98" s="4">
        <v>7.22</v>
      </c>
      <c r="AT98" s="4">
        <v>7.12</v>
      </c>
      <c r="AU98" s="4">
        <v>7.125</v>
      </c>
      <c r="AV98" s="4">
        <v>6.46</v>
      </c>
      <c r="AW98" s="4">
        <v>6.02</v>
      </c>
      <c r="AX98" s="4">
        <v>6.03</v>
      </c>
      <c r="AY98" s="12">
        <v>6.56</v>
      </c>
      <c r="AZ98" s="12">
        <v>6.83</v>
      </c>
      <c r="BA98" s="12">
        <v>7.04</v>
      </c>
      <c r="BB98" s="18">
        <v>6.79</v>
      </c>
      <c r="BC98" s="63">
        <v>7.18</v>
      </c>
      <c r="BD98" s="63">
        <v>6.95</v>
      </c>
      <c r="BE98" s="63">
        <v>7.25</v>
      </c>
      <c r="BF98" s="63">
        <v>7.33</v>
      </c>
      <c r="BG98" s="91" cm="1">
        <f t="array" aca="1" ref="BG98" ca="1">_FV(EE98,"Preço")</f>
        <v>7.58</v>
      </c>
      <c r="BH98" s="93" t="s">
        <v>96</v>
      </c>
      <c r="BI98" s="32" cm="1">
        <f t="array" aca="1" ref="BI98" ca="1">_FV(EE98,"Beta")</f>
        <v>0.7883</v>
      </c>
      <c r="BJ98" s="96" cm="1">
        <f t="array" aca="1" ref="BJ98" ca="1">_FV(EE98,"Variação (%)",TRUE)</f>
        <v>-3.9420000000000002E-3</v>
      </c>
      <c r="BK98" s="49"/>
      <c r="BL98" s="49"/>
      <c r="BN98" s="32"/>
      <c r="BO98" s="20" cm="1">
        <f t="array" aca="1" ref="BO98" ca="1">_FV(EE98,"Baixo")</f>
        <v>7.46</v>
      </c>
      <c r="BP98" s="20" cm="1">
        <f t="array" aca="1" ref="BP98" ca="1">_FV(EE98,"Alto")</f>
        <v>7.85</v>
      </c>
      <c r="BQ98" s="32"/>
      <c r="BR98" s="74">
        <f ca="1">SQRT(22.5*(BG98/VLOOKUP(BH98,Fundamentus!A:U,3,FALSE))*(BG98/VLOOKUP(BH98,Fundamentus!A:U,4,FALSE)))</f>
        <v>9.1518132154887954</v>
      </c>
      <c r="BT98" s="73">
        <f t="shared" ca="1" si="99"/>
        <v>3.4106412005457026E-2</v>
      </c>
      <c r="BU98" s="36">
        <f t="shared" si="100"/>
        <v>3.129445234708389E-2</v>
      </c>
      <c r="BV98" s="8"/>
      <c r="BW98" s="72">
        <f t="shared" si="101"/>
        <v>6.02</v>
      </c>
      <c r="BX98" s="72">
        <f t="shared" si="102"/>
        <v>7.3880172413793108</v>
      </c>
      <c r="BY98" s="72">
        <f t="shared" si="103"/>
        <v>9.56</v>
      </c>
      <c r="BZ98" s="17"/>
      <c r="CA98" s="17"/>
      <c r="CB98" s="43">
        <f t="shared" si="104"/>
        <v>7.0686771919126024</v>
      </c>
      <c r="CC98" s="18">
        <f t="shared" si="105"/>
        <v>7.3520056232427464</v>
      </c>
      <c r="CD98" s="43">
        <f t="shared" si="106"/>
        <v>7.6353340545728905</v>
      </c>
      <c r="CE98" s="98">
        <f t="shared" ca="1" si="107"/>
        <v>0.80469995787887139</v>
      </c>
      <c r="CF98" s="17"/>
      <c r="CG98" s="20">
        <f t="shared" si="108"/>
        <v>2.173333333333332</v>
      </c>
      <c r="CH98" s="20">
        <f t="shared" si="109"/>
        <v>4.0966666666666658</v>
      </c>
      <c r="CI98" s="20">
        <f t="shared" si="110"/>
        <v>5.7133333333333329</v>
      </c>
      <c r="CJ98" s="49">
        <f t="shared" si="111"/>
        <v>7.6366666666666667</v>
      </c>
      <c r="CK98" s="20">
        <f t="shared" si="112"/>
        <v>9.2533333333333339</v>
      </c>
      <c r="CL98" s="20">
        <f t="shared" si="113"/>
        <v>11.176666666666668</v>
      </c>
      <c r="CM98" s="20">
        <f t="shared" si="114"/>
        <v>12.793333333333335</v>
      </c>
      <c r="CN98" s="2" cm="1">
        <f t="array" aca="1" ref="CN98" ca="1">MAX(_xlfn._xlws.FILTER(CG98:CM98,CG98:CM98&lt;BG98))</f>
        <v>5.7133333333333329</v>
      </c>
      <c r="CO98" s="2" cm="1">
        <f t="array" aca="1" ref="CO98" ca="1">MIN(_xlfn._xlws.FILTER($CG98:$CM98,$CG98:$CM98&gt;BG98))</f>
        <v>7.6366666666666667</v>
      </c>
      <c r="CP98" s="19">
        <f t="shared" ca="1" si="124"/>
        <v>0.33663943990665124</v>
      </c>
      <c r="CQ98" s="23">
        <f t="shared" ca="1" si="125"/>
        <v>-0.16831971995332562</v>
      </c>
      <c r="CR98" s="23">
        <f t="shared" ca="1" si="126"/>
        <v>-0.11221314663555042</v>
      </c>
      <c r="CS98" s="23">
        <f t="shared" ca="1" si="127"/>
        <v>-6.7327887981330242E-2</v>
      </c>
      <c r="CT98" s="23">
        <f t="shared" ca="1" si="128"/>
        <v>-3.7404382211850135E-2</v>
      </c>
      <c r="CU98" s="23">
        <f t="shared" ca="1" si="129"/>
        <v>-1.9802319994508898E-2</v>
      </c>
      <c r="CV98" s="23">
        <f t="shared" ca="1" si="130"/>
        <v>-1.0201195148686401E-2</v>
      </c>
      <c r="CW98" s="23">
        <f t="shared" ca="1" si="131"/>
        <v>-5.1790683062561725E-3</v>
      </c>
      <c r="CX98" s="24">
        <f t="shared" ca="1" si="132"/>
        <v>5.1790683062561725E-3</v>
      </c>
      <c r="CY98" s="24">
        <f t="shared" ca="1" si="133"/>
        <v>1.0201195148686401E-2</v>
      </c>
      <c r="CZ98" s="24">
        <f t="shared" ca="1" si="134"/>
        <v>1.9802319994508898E-2</v>
      </c>
      <c r="DA98" s="24">
        <f t="shared" ca="1" si="135"/>
        <v>3.7404382211850135E-2</v>
      </c>
      <c r="DB98" s="24">
        <f t="shared" ca="1" si="136"/>
        <v>6.7327887981330242E-2</v>
      </c>
      <c r="DC98" s="24">
        <f t="shared" ca="1" si="137"/>
        <v>0.11221314663555042</v>
      </c>
      <c r="DD98" s="24">
        <f t="shared" ca="1" si="138"/>
        <v>0.16831971995332562</v>
      </c>
      <c r="DF98" s="19" cm="1">
        <f t="array" aca="1" ref="DF98" ca="1">MAX(_xlfn._xlws.FILTER(CQ98:DD98,CQ98:DD98&lt;BJ98))</f>
        <v>-5.1790683062561725E-3</v>
      </c>
      <c r="DG98" s="19" cm="1">
        <f t="array" aca="1" ref="DG98" ca="1">MIN(_xlfn._xlws.FILTER(CQ98:DD98,CQ98:DD98&gt;BJ98))</f>
        <v>5.1790683062561725E-3</v>
      </c>
      <c r="DH98" s="2" cm="1">
        <f t="array" aca="1" ref="DH98" ca="1">_FV(EE98,"Fechamento anterior",TRUE)</f>
        <v>7.61</v>
      </c>
      <c r="DI98" s="36">
        <f t="shared" ca="1" si="115"/>
        <v>0.11941211167464194</v>
      </c>
      <c r="DJ98" s="18">
        <f t="shared" ca="1" si="139"/>
        <v>7.5705872901893905</v>
      </c>
      <c r="DK98" s="18">
        <f t="shared" ca="1" si="140"/>
        <v>7.6494127098106102</v>
      </c>
      <c r="DL98" s="9"/>
      <c r="DM98" s="9"/>
      <c r="DN98" s="9"/>
      <c r="DO98" s="9"/>
      <c r="DP98" s="79">
        <v>1.0466712792625026E-2</v>
      </c>
      <c r="DQ98" s="79">
        <v>1.1291972839735848E-2</v>
      </c>
      <c r="DR98" s="79">
        <v>1.1291972839735848E-2</v>
      </c>
      <c r="DS98" s="79">
        <f t="shared" ca="1" si="116"/>
        <v>1.0358136612512345E-2</v>
      </c>
      <c r="DT98" s="47"/>
      <c r="DU98" s="43">
        <f t="shared" si="117"/>
        <v>0.14166421566507184</v>
      </c>
      <c r="DV98" s="83">
        <f t="shared" ca="1" si="118"/>
        <v>1.2143999999999999</v>
      </c>
      <c r="DW98" s="83">
        <f t="shared" ca="1" si="119"/>
        <v>1.1825000000000001</v>
      </c>
      <c r="DX98" s="83">
        <f t="shared" ca="1" si="120"/>
        <v>3.1899999999999817E-2</v>
      </c>
      <c r="DY98" s="67"/>
      <c r="DZ98" s="67"/>
      <c r="EA98" s="85"/>
      <c r="EB98" s="44">
        <v>8902600</v>
      </c>
      <c r="EC98" s="44" cm="1">
        <f t="array" aca="1" ref="EC98" ca="1">_FV(EE98,"Volume")</f>
        <v>16933800</v>
      </c>
      <c r="EE98" s="2" t="e" vm="98">
        <v>#VALUE!</v>
      </c>
      <c r="EG98" s="10" cm="1">
        <f t="array" aca="1" ref="EG98" ca="1">_FV(EE98,"Ações em circulação",TRUE)</f>
        <v>1136271000</v>
      </c>
      <c r="EH98" s="21">
        <f>VLOOKUP(BH98,Fundamentus!A:U,5,FALSE)</f>
        <v>0.96499999999999997</v>
      </c>
      <c r="EI98" s="2">
        <f t="shared" ca="1" si="121"/>
        <v>8925320393.782383</v>
      </c>
      <c r="EJ98" s="20">
        <v>1150505590.7968915</v>
      </c>
      <c r="EK98" s="20">
        <f t="shared" ca="1" si="122"/>
        <v>1189745208.4911916</v>
      </c>
      <c r="EM98" s="40" t="str">
        <f>IF(VLOOKUP(BH98,Fundamentus!A:U,3,FALSE)&lt;15,"Bom",IF(VLOOKUP(BH98,Fundamentus!A:U,3,FALSE)&gt;15,"Ruim","n/a"))</f>
        <v>Bom</v>
      </c>
      <c r="EN98" s="36" t="str">
        <f>IF(VLOOKUP(BH98,Fundamentus!A:U,4,FALSE)&lt;1,"Baixo",IF(VLOOKUP(BH98,Fundamentus!A:U,4,FALSE)&lt;1.5,"Moderado",IF(VLOOKUP(BH98,Fundamentus!A:U,4,FALSE)&gt;1.5,"Alto","n/a")))</f>
        <v>Alto</v>
      </c>
      <c r="EO98" s="20" t="str">
        <f>IF(VLOOKUP(BH98,Fundamentus!A:U,8,FALSE)&lt;0,"Risco elevado",IF(VLOOKUP(BH98,Fundamentus!A:U,8,FALSE)&lt;1,"Saudável",IF(VLOOKUP(BH98,Fundamentus!A:U,8,FALSE)&lt;3,"Estável",IF(VLOOKUP(BH98,Fundamentus!A:U,8,FALSE)&gt;3,"Alerta","n/a"))))</f>
        <v>Alerta</v>
      </c>
      <c r="EP98" s="36" t="str">
        <f t="shared" si="123"/>
        <v>Ruim</v>
      </c>
      <c r="EQ98" s="20" t="str">
        <f>IF(VLOOKUP(BH98,Fundamentus!A:U,12,FALSE)&lt;2,"Subvalorizada",IF(VLOOKUP(BH98,Fundamentus!A:U,12,FALSE)&lt;6,"Muita barata",IF(VLOOKUP(BH98,Fundamentus!A:U,12,FALSE)&lt;6,"Barata",IF(VLOOKUP(BH98,Fundamentus!A:U,12,FALSE)&lt;8,"Atrativa",IF(VLOOKUP(BH98,Fundamentus!A:U,12,FALSE)&gt;8,"Supervalorizada","n/a")))))</f>
        <v>Atrativa</v>
      </c>
      <c r="ES98" s="20" t="str">
        <f>IF(VLOOKUP(BH98,Fundamentus!A:U,17,FALSE)&lt;0.1,"Fraco retorno",IF(VLOOKUP(BH98,Fundamentus!A:U,17,FALSE)&gt;0.1,"Bom retorno","n/a"))</f>
        <v>Bom retorno</v>
      </c>
      <c r="ET98" s="20" t="str">
        <f>IF(VLOOKUP(BH98,Fundamentus!A:U,16,FALSE)&lt;0.1,"Ineficiente",IF(VLOOKUP(BH98,Fundamentus!A:U,16,FALSE)&gt;0.1,"Eficiente","n/a"))</f>
        <v>Eficiente</v>
      </c>
      <c r="EU98" s="41" t="str">
        <f>IF(VLOOKUP(BH98,Fundamentus!A:U,16,FALSE)&lt;0.1,"Oper. Ineficiente",IF(VLOOKUP(BH98,Fundamentus!A:U,16,FALSE)&gt;0.1,"Oper.Eficiente","n/a"))</f>
        <v>Oper.Eficiente</v>
      </c>
      <c r="EV98" s="42">
        <f>VLOOKUP(BH98,Fundamentus!A:U,14,FALSE)</f>
        <v>0.1333</v>
      </c>
      <c r="EW98" s="20" t="str">
        <f>IF(VLOOKUP(BH98,Fundamentus!A:U,21,FALSE)&lt;0,"Negativo",IF(VLOOKUP(BH98,Fundamentus!A:U,21,FALSE)&lt;0.05,"Fraco",IF(VLOOKUP(BH98,Fundamentus!A:U,21,FALSE)&lt;0.1,"Bom",IF(VLOOKUP(BH98,Fundamentus!A:U,21,FALSE)&gt;0.1,"Muito bom","n/a"))))</f>
        <v>Muito bom</v>
      </c>
      <c r="EY98" s="37" t="str">
        <f>IF(VLOOKUP(BH98,Fundamentus!A:U,15,FALSE)&gt;1,"Bom",IF(VLOOKUP(BH98,Fundamentus!A:U,15,FALSE)&lt;1,"Ruim","n/a"))</f>
        <v>Bom</v>
      </c>
      <c r="EZ98" s="20" t="str">
        <f>IF(VLOOKUP(BH98,Fundamentus!A:U,20,FALSE)&lt;0.5,"Baixa",IF(VLOOKUP(BH98,Fundamentus!A:U,20,FALSE)&lt;1,"Moderada",IF(VLOOKUP(BH98,Fundamentus!A:U,20,FALSE)&lt;2,"Alerta",IF(VLOOKUP(BH98,Fundamentus!A:U,20,FALSE)&gt;2,"Alta","n/a"))))</f>
        <v>Moderada</v>
      </c>
      <c r="FA98" s="10"/>
    </row>
    <row r="99" spans="1:157" s="2" customFormat="1" ht="11.25" hidden="1" x14ac:dyDescent="0.2">
      <c r="A99" s="4">
        <v>63.99</v>
      </c>
      <c r="B99" s="4">
        <v>64.510000000000005</v>
      </c>
      <c r="C99" s="4">
        <v>66.180000000000007</v>
      </c>
      <c r="D99" s="4">
        <v>64.95</v>
      </c>
      <c r="E99" s="4">
        <v>63.2</v>
      </c>
      <c r="F99" s="4">
        <v>60.41</v>
      </c>
      <c r="G99" s="4">
        <v>60.62</v>
      </c>
      <c r="H99" s="4">
        <v>60.83</v>
      </c>
      <c r="I99" s="4">
        <v>62.31</v>
      </c>
      <c r="J99" s="4">
        <v>63.6</v>
      </c>
      <c r="K99" s="4">
        <v>62.92</v>
      </c>
      <c r="L99" s="4">
        <v>61.12</v>
      </c>
      <c r="M99" s="4">
        <v>61.47</v>
      </c>
      <c r="N99" s="4">
        <v>59.41</v>
      </c>
      <c r="O99" s="4">
        <v>57.06</v>
      </c>
      <c r="P99" s="4">
        <v>56.13</v>
      </c>
      <c r="Q99" s="4">
        <v>57.4</v>
      </c>
      <c r="R99" s="4">
        <v>59.58</v>
      </c>
      <c r="S99" s="4">
        <v>56.68</v>
      </c>
      <c r="T99" s="4">
        <v>58.5</v>
      </c>
      <c r="U99" s="4">
        <v>57.35</v>
      </c>
      <c r="V99" s="4">
        <v>63.96</v>
      </c>
      <c r="W99" s="4">
        <v>62.48</v>
      </c>
      <c r="X99" s="4">
        <v>62.13</v>
      </c>
      <c r="Y99" s="4">
        <v>59.95</v>
      </c>
      <c r="Z99" s="4">
        <v>61.73</v>
      </c>
      <c r="AA99" s="4">
        <v>62.03</v>
      </c>
      <c r="AB99" s="4">
        <v>60.58</v>
      </c>
      <c r="AC99" s="4">
        <v>56.84</v>
      </c>
      <c r="AD99" s="4">
        <v>58.18</v>
      </c>
      <c r="AE99" s="4">
        <v>58.78</v>
      </c>
      <c r="AF99" s="4">
        <v>56.81</v>
      </c>
      <c r="AG99" s="4">
        <v>55.86</v>
      </c>
      <c r="AH99" s="4">
        <v>54.85</v>
      </c>
      <c r="AI99" s="4">
        <v>54.74</v>
      </c>
      <c r="AJ99" s="4">
        <v>53.24</v>
      </c>
      <c r="AK99" s="4">
        <v>51.52</v>
      </c>
      <c r="AL99" s="4">
        <v>54.49</v>
      </c>
      <c r="AM99" s="4">
        <v>53.03</v>
      </c>
      <c r="AN99" s="4">
        <v>54.17</v>
      </c>
      <c r="AO99" s="4">
        <v>54.83</v>
      </c>
      <c r="AP99" s="4">
        <v>55.67</v>
      </c>
      <c r="AQ99" s="4">
        <v>58.16</v>
      </c>
      <c r="AR99" s="4">
        <v>55.15</v>
      </c>
      <c r="AS99" s="4">
        <v>57.02</v>
      </c>
      <c r="AT99" s="4">
        <v>56.29</v>
      </c>
      <c r="AU99" s="4">
        <v>57.14</v>
      </c>
      <c r="AV99" s="4">
        <v>57.56</v>
      </c>
      <c r="AW99" s="4">
        <v>52.68</v>
      </c>
      <c r="AX99" s="4">
        <v>53.66</v>
      </c>
      <c r="AY99" s="12">
        <v>52.88</v>
      </c>
      <c r="AZ99" s="12">
        <v>53.85</v>
      </c>
      <c r="BA99" s="12">
        <v>52.86</v>
      </c>
      <c r="BB99" s="18">
        <v>52.74</v>
      </c>
      <c r="BC99" s="63">
        <v>55.45</v>
      </c>
      <c r="BD99" s="63">
        <v>54.32</v>
      </c>
      <c r="BE99" s="63">
        <v>52.1</v>
      </c>
      <c r="BF99" s="63">
        <v>52.98</v>
      </c>
      <c r="BG99" s="91" cm="1">
        <f t="array" aca="1" ref="BG99" ca="1">_FV(EE99,"Preço")</f>
        <v>52.13</v>
      </c>
      <c r="BH99" s="93" t="s">
        <v>97</v>
      </c>
      <c r="BI99" s="32" cm="1">
        <f t="array" aca="1" ref="BI99" ca="1">_FV(EE99,"Beta")</f>
        <v>0.79630000000000001</v>
      </c>
      <c r="BJ99" s="96" cm="1">
        <f t="array" aca="1" ref="BJ99" ca="1">_FV(EE99,"Variação (%)",TRUE)</f>
        <v>-1.325E-2</v>
      </c>
      <c r="BK99" s="49"/>
      <c r="BL99" s="49"/>
      <c r="BN99" s="32"/>
      <c r="BO99" s="20" cm="1">
        <f t="array" aca="1" ref="BO99" ca="1">_FV(EE99,"Baixo")</f>
        <v>51.96</v>
      </c>
      <c r="BP99" s="20" cm="1">
        <f t="array" aca="1" ref="BP99" ca="1">_FV(EE99,"Alto")</f>
        <v>52.51</v>
      </c>
      <c r="BQ99" s="32"/>
      <c r="BR99" s="74">
        <f ca="1">SQRT(22.5*(BG99/VLOOKUP(BH99,Fundamentus!A:U,3,FALSE))*(BG99/VLOOKUP(BH99,Fundamentus!A:U,4,FALSE)))</f>
        <v>82.062214842522337</v>
      </c>
      <c r="BT99" s="73">
        <f t="shared" ca="1" si="99"/>
        <v>-1.6043790109475167E-2</v>
      </c>
      <c r="BU99" s="36">
        <f t="shared" si="100"/>
        <v>-0.18581028285669637</v>
      </c>
      <c r="BV99" s="8"/>
      <c r="BW99" s="72">
        <f t="shared" si="101"/>
        <v>51.52</v>
      </c>
      <c r="BX99" s="72">
        <f t="shared" si="102"/>
        <v>57.912586206896528</v>
      </c>
      <c r="BY99" s="72">
        <f t="shared" si="103"/>
        <v>66.180000000000007</v>
      </c>
      <c r="BZ99" s="17"/>
      <c r="CA99" s="17"/>
      <c r="CB99" s="43">
        <f t="shared" si="104"/>
        <v>48.79975125655362</v>
      </c>
      <c r="CC99" s="18">
        <f t="shared" si="105"/>
        <v>51.354095595126637</v>
      </c>
      <c r="CD99" s="43">
        <f t="shared" si="106"/>
        <v>53.908439933699654</v>
      </c>
      <c r="CE99" s="98">
        <f t="shared" ca="1" si="107"/>
        <v>0.30375873493501826</v>
      </c>
      <c r="CF99" s="17"/>
      <c r="CG99" s="20">
        <f t="shared" si="108"/>
        <v>32.946666666666665</v>
      </c>
      <c r="CH99" s="20">
        <f t="shared" si="109"/>
        <v>42.233333333333334</v>
      </c>
      <c r="CI99" s="20">
        <f t="shared" si="110"/>
        <v>47.606666666666669</v>
      </c>
      <c r="CJ99" s="49">
        <f t="shared" si="111"/>
        <v>56.893333333333338</v>
      </c>
      <c r="CK99" s="20">
        <f t="shared" si="112"/>
        <v>62.266666666666673</v>
      </c>
      <c r="CL99" s="20">
        <f t="shared" si="113"/>
        <v>71.553333333333342</v>
      </c>
      <c r="CM99" s="20">
        <f t="shared" si="114"/>
        <v>76.926666666666677</v>
      </c>
      <c r="CN99" s="2" cm="1">
        <f t="array" aca="1" ref="CN99" ca="1">MAX(_xlfn._xlws.FILTER(CG99:CM99,CG99:CM99&lt;BG99))</f>
        <v>47.606666666666669</v>
      </c>
      <c r="CO99" s="2" cm="1">
        <f t="array" aca="1" ref="CO99" ca="1">MIN(_xlfn._xlws.FILTER($CG99:$CM99,$CG99:$CM99&gt;BG99))</f>
        <v>56.893333333333338</v>
      </c>
      <c r="CP99" s="19">
        <f t="shared" ca="1" si="124"/>
        <v>0.19507071838678058</v>
      </c>
      <c r="CQ99" s="23">
        <f t="shared" ca="1" si="125"/>
        <v>-9.7535359193390292E-2</v>
      </c>
      <c r="CR99" s="23">
        <f t="shared" ca="1" si="126"/>
        <v>-6.5023572795593523E-2</v>
      </c>
      <c r="CS99" s="23">
        <f t="shared" ca="1" si="127"/>
        <v>-3.9014143677356117E-2</v>
      </c>
      <c r="CT99" s="23">
        <f t="shared" ca="1" si="128"/>
        <v>-2.1674524265197843E-2</v>
      </c>
      <c r="CU99" s="23">
        <f t="shared" ca="1" si="129"/>
        <v>-1.1474748140398857E-2</v>
      </c>
      <c r="CV99" s="23">
        <f t="shared" ca="1" si="130"/>
        <v>-5.9112338905085021E-3</v>
      </c>
      <c r="CW99" s="23">
        <f t="shared" ca="1" si="131"/>
        <v>-3.00108797518124E-3</v>
      </c>
      <c r="CX99" s="24">
        <f t="shared" ca="1" si="132"/>
        <v>3.00108797518124E-3</v>
      </c>
      <c r="CY99" s="24">
        <f t="shared" ca="1" si="133"/>
        <v>5.9112338905085021E-3</v>
      </c>
      <c r="CZ99" s="24">
        <f t="shared" ca="1" si="134"/>
        <v>1.1474748140398857E-2</v>
      </c>
      <c r="DA99" s="24">
        <f t="shared" ca="1" si="135"/>
        <v>2.1674524265197843E-2</v>
      </c>
      <c r="DB99" s="24">
        <f t="shared" ca="1" si="136"/>
        <v>3.9014143677356117E-2</v>
      </c>
      <c r="DC99" s="24">
        <f t="shared" ca="1" si="137"/>
        <v>6.5023572795593523E-2</v>
      </c>
      <c r="DD99" s="24">
        <f t="shared" ca="1" si="138"/>
        <v>9.7535359193390292E-2</v>
      </c>
      <c r="DF99" s="19" cm="1">
        <f t="array" aca="1" ref="DF99" ca="1">MAX(_xlfn._xlws.FILTER(CQ99:DD99,CQ99:DD99&lt;BJ99))</f>
        <v>-2.1674524265197843E-2</v>
      </c>
      <c r="DG99" s="19" cm="1">
        <f t="array" aca="1" ref="DG99" ca="1">MIN(_xlfn._xlws.FILTER(CQ99:DD99,CQ99:DD99&gt;BJ99))</f>
        <v>-1.1474748140398857E-2</v>
      </c>
      <c r="DH99" s="2" cm="1">
        <f t="array" aca="1" ref="DH99" ca="1">_FV(EE99,"Fechamento anterior",TRUE)</f>
        <v>52.83</v>
      </c>
      <c r="DI99" s="36">
        <f t="shared" ca="1" si="115"/>
        <v>0.82594724046125689</v>
      </c>
      <c r="DJ99" s="18">
        <f t="shared" ca="1" si="139"/>
        <v>51.684934883069594</v>
      </c>
      <c r="DK99" s="18">
        <f t="shared" ca="1" si="140"/>
        <v>52.223789055742728</v>
      </c>
      <c r="DL99" s="9"/>
      <c r="DM99" s="9"/>
      <c r="DN99" s="9"/>
      <c r="DO99" s="9"/>
      <c r="DP99" s="79">
        <v>5.3448541108589336E-3</v>
      </c>
      <c r="DQ99" s="79">
        <v>1.7511840502182532E-2</v>
      </c>
      <c r="DR99" s="79">
        <v>6.0617909430631832E-3</v>
      </c>
      <c r="DS99" s="79">
        <f t="shared" ca="1" si="116"/>
        <v>1.0199776124798986E-2</v>
      </c>
      <c r="DT99" s="47"/>
      <c r="DU99" s="43">
        <f t="shared" si="117"/>
        <v>1.277172169286507</v>
      </c>
      <c r="DV99" s="83">
        <f t="shared" ca="1" si="118"/>
        <v>1.2223999999999999</v>
      </c>
      <c r="DW99" s="83">
        <f t="shared" ca="1" si="119"/>
        <v>2.1212999999999997</v>
      </c>
      <c r="DX99" s="83">
        <f t="shared" ca="1" si="120"/>
        <v>-0.89889999999999981</v>
      </c>
      <c r="DY99" s="67"/>
      <c r="DZ99" s="67"/>
      <c r="EA99" s="85"/>
      <c r="EB99" s="44">
        <v>16634500</v>
      </c>
      <c r="EC99" s="44" cm="1">
        <f t="array" aca="1" ref="EC99" ca="1">_FV(EE99,"Volume")</f>
        <v>13218200</v>
      </c>
      <c r="EE99" s="2" t="e" vm="99">
        <v>#VALUE!</v>
      </c>
      <c r="EG99" s="10" cm="1">
        <f t="array" aca="1" ref="EG99" ca="1">_FV(EE99,"Ações em circulação",TRUE)</f>
        <v>4539008000</v>
      </c>
      <c r="EH99" s="21">
        <f>VLOOKUP(BH99,Fundamentus!A:U,5,FALSE)</f>
        <v>1.135</v>
      </c>
      <c r="EI99" s="2">
        <f t="shared" ca="1" si="121"/>
        <v>208474437920.70483</v>
      </c>
      <c r="EJ99" s="20">
        <v>30319125756.39119</v>
      </c>
      <c r="EK99" s="20">
        <f t="shared" ca="1" si="122"/>
        <v>29832692066.452862</v>
      </c>
      <c r="EM99" s="40" t="str">
        <f>IF(VLOOKUP(BH99,Fundamentus!A:U,3,FALSE)&lt;15,"Bom",IF(VLOOKUP(BH99,Fundamentus!A:U,3,FALSE)&gt;15,"Ruim","n/a"))</f>
        <v>Bom</v>
      </c>
      <c r="EN99" s="36" t="str">
        <f>IF(VLOOKUP(BH99,Fundamentus!A:U,4,FALSE)&lt;1,"Baixo",IF(VLOOKUP(BH99,Fundamentus!A:U,4,FALSE)&lt;1.5,"Moderado",IF(VLOOKUP(BH99,Fundamentus!A:U,4,FALSE)&gt;1.5,"Alto","n/a")))</f>
        <v>Moderado</v>
      </c>
      <c r="EO99" s="20" t="str">
        <f>IF(VLOOKUP(BH99,Fundamentus!A:U,8,FALSE)&lt;0,"Risco elevado",IF(VLOOKUP(BH99,Fundamentus!A:U,8,FALSE)&lt;1,"Saudável",IF(VLOOKUP(BH99,Fundamentus!A:U,8,FALSE)&lt;3,"Estável",IF(VLOOKUP(BH99,Fundamentus!A:U,8,FALSE)&gt;3,"Alerta","n/a"))))</f>
        <v>Alerta</v>
      </c>
      <c r="EP99" s="36" t="str">
        <f t="shared" si="123"/>
        <v>Bom</v>
      </c>
      <c r="EQ99" s="20" t="str">
        <f>IF(VLOOKUP(BH99,Fundamentus!A:U,12,FALSE)&lt;2,"Subvalorizada",IF(VLOOKUP(BH99,Fundamentus!A:U,12,FALSE)&lt;6,"Muita barata",IF(VLOOKUP(BH99,Fundamentus!A:U,12,FALSE)&lt;6,"Barata",IF(VLOOKUP(BH99,Fundamentus!A:U,12,FALSE)&lt;8,"Atrativa",IF(VLOOKUP(BH99,Fundamentus!A:U,12,FALSE)&gt;8,"Supervalorizada","n/a")))))</f>
        <v>Muita barata</v>
      </c>
      <c r="ES99" s="20" t="str">
        <f>IF(VLOOKUP(BH99,Fundamentus!A:U,17,FALSE)&lt;0.1,"Fraco retorno",IF(VLOOKUP(BH99,Fundamentus!A:U,17,FALSE)&gt;0.1,"Bom retorno","n/a"))</f>
        <v>Bom retorno</v>
      </c>
      <c r="ET99" s="20" t="str">
        <f>IF(VLOOKUP(BH99,Fundamentus!A:U,16,FALSE)&lt;0.1,"Ineficiente",IF(VLOOKUP(BH99,Fundamentus!A:U,16,FALSE)&gt;0.1,"Eficiente","n/a"))</f>
        <v>Eficiente</v>
      </c>
      <c r="EU99" s="41" t="str">
        <f>IF(VLOOKUP(BH99,Fundamentus!A:U,16,FALSE)&lt;0.1,"Oper. Ineficiente",IF(VLOOKUP(BH99,Fundamentus!A:U,16,FALSE)&gt;0.1,"Oper.Eficiente","n/a"))</f>
        <v>Oper.Eficiente</v>
      </c>
      <c r="EV99" s="42">
        <f>VLOOKUP(BH99,Fundamentus!A:U,14,FALSE)</f>
        <v>0.1431</v>
      </c>
      <c r="EW99" s="20" t="str">
        <f>IF(VLOOKUP(BH99,Fundamentus!A:U,21,FALSE)&lt;0,"Negativo",IF(VLOOKUP(BH99,Fundamentus!A:U,21,FALSE)&lt;0.05,"Fraco",IF(VLOOKUP(BH99,Fundamentus!A:U,21,FALSE)&lt;0.1,"Bom",IF(VLOOKUP(BH99,Fundamentus!A:U,21,FALSE)&gt;0.1,"Muito bom","n/a"))))</f>
        <v>Negativo</v>
      </c>
      <c r="EY99" s="37" t="str">
        <f>IF(VLOOKUP(BH99,Fundamentus!A:U,15,FALSE)&gt;1,"Bom",IF(VLOOKUP(BH99,Fundamentus!A:U,15,FALSE)&lt;1,"Ruim","n/a"))</f>
        <v>Bom</v>
      </c>
      <c r="EZ99" s="20" t="str">
        <f>IF(VLOOKUP(BH99,Fundamentus!A:U,20,FALSE)&lt;0.5,"Baixa",IF(VLOOKUP(BH99,Fundamentus!A:U,20,FALSE)&lt;1,"Moderada",IF(VLOOKUP(BH99,Fundamentus!A:U,20,FALSE)&lt;2,"Alerta",IF(VLOOKUP(BH99,Fundamentus!A:U,20,FALSE)&gt;2,"Alta","n/a"))))</f>
        <v>Baixa</v>
      </c>
      <c r="FA99" s="10"/>
    </row>
    <row r="100" spans="1:157" s="2" customFormat="1" ht="11.25" hidden="1" x14ac:dyDescent="0.2">
      <c r="A100" s="4">
        <v>26.24</v>
      </c>
      <c r="B100" s="4">
        <v>26.17</v>
      </c>
      <c r="C100" s="4">
        <v>27.6</v>
      </c>
      <c r="D100" s="4">
        <v>25.92</v>
      </c>
      <c r="E100" s="4">
        <v>24.98</v>
      </c>
      <c r="F100" s="4">
        <v>25.32</v>
      </c>
      <c r="G100" s="4">
        <v>25.7</v>
      </c>
      <c r="H100" s="4">
        <v>25.8</v>
      </c>
      <c r="I100" s="4">
        <v>25.54</v>
      </c>
      <c r="J100" s="4">
        <v>25.29</v>
      </c>
      <c r="K100" s="4">
        <v>25.76</v>
      </c>
      <c r="L100" s="4">
        <v>25.77</v>
      </c>
      <c r="M100" s="4">
        <v>27</v>
      </c>
      <c r="N100" s="4">
        <v>28.4</v>
      </c>
      <c r="O100" s="4">
        <v>29.34</v>
      </c>
      <c r="P100" s="4">
        <v>29.5</v>
      </c>
      <c r="Q100" s="4">
        <v>27.86</v>
      </c>
      <c r="R100" s="4">
        <v>27.56</v>
      </c>
      <c r="S100" s="4">
        <v>27.44</v>
      </c>
      <c r="T100" s="4">
        <v>26.7</v>
      </c>
      <c r="U100" s="4">
        <v>26.97</v>
      </c>
      <c r="V100" s="4">
        <v>25.7</v>
      </c>
      <c r="W100" s="4">
        <v>25.38</v>
      </c>
      <c r="X100" s="4">
        <v>24.38</v>
      </c>
      <c r="Y100" s="4">
        <v>25.14</v>
      </c>
      <c r="Z100" s="4">
        <v>24.44</v>
      </c>
      <c r="AA100" s="4">
        <v>24.3</v>
      </c>
      <c r="AB100" s="4">
        <v>25.45</v>
      </c>
      <c r="AC100" s="4">
        <v>25.43</v>
      </c>
      <c r="AD100" s="4">
        <v>26.02</v>
      </c>
      <c r="AE100" s="4">
        <v>24.08</v>
      </c>
      <c r="AF100" s="4">
        <v>24.14</v>
      </c>
      <c r="AG100" s="4">
        <v>23.6</v>
      </c>
      <c r="AH100" s="4">
        <v>22.62</v>
      </c>
      <c r="AI100" s="4">
        <v>22</v>
      </c>
      <c r="AJ100" s="4">
        <v>20.8</v>
      </c>
      <c r="AK100" s="4">
        <v>20.97</v>
      </c>
      <c r="AL100" s="4">
        <v>21.23</v>
      </c>
      <c r="AM100" s="4">
        <v>20.78</v>
      </c>
      <c r="AN100" s="4">
        <v>21.09</v>
      </c>
      <c r="AO100" s="4">
        <v>20.12</v>
      </c>
      <c r="AP100" s="4">
        <v>20</v>
      </c>
      <c r="AQ100" s="4">
        <v>19.059999999999999</v>
      </c>
      <c r="AR100" s="4">
        <v>17.38</v>
      </c>
      <c r="AS100" s="4">
        <v>17.809999999999999</v>
      </c>
      <c r="AT100" s="4">
        <v>19.18</v>
      </c>
      <c r="AU100" s="4">
        <v>19.66</v>
      </c>
      <c r="AV100" s="4">
        <v>19.34</v>
      </c>
      <c r="AW100" s="4">
        <v>19.53</v>
      </c>
      <c r="AX100" s="4">
        <v>21.38</v>
      </c>
      <c r="AY100" s="12">
        <v>20.69</v>
      </c>
      <c r="AZ100" s="12">
        <v>20.100000000000001</v>
      </c>
      <c r="BA100" s="12">
        <v>19.84</v>
      </c>
      <c r="BB100" s="18">
        <v>16.309999999999999</v>
      </c>
      <c r="BC100" s="63">
        <v>15.3</v>
      </c>
      <c r="BD100" s="63">
        <v>14.67</v>
      </c>
      <c r="BE100" s="63">
        <v>14.85</v>
      </c>
      <c r="BF100" s="63">
        <v>15.15</v>
      </c>
      <c r="BG100" s="91" cm="1">
        <f t="array" aca="1" ref="BG100" ca="1">_FV(EE100,"Preço")</f>
        <v>13.88</v>
      </c>
      <c r="BH100" s="93" t="s">
        <v>98</v>
      </c>
      <c r="BI100" s="32" cm="1">
        <f t="array" aca="1" ref="BI100" ca="1">_FV(EE100,"Beta")</f>
        <v>0.80649999999999999</v>
      </c>
      <c r="BJ100" s="96" cm="1">
        <f t="array" aca="1" ref="BJ100" ca="1">_FV(EE100,"Variação (%)",TRUE)</f>
        <v>-5.0616000000000001E-2</v>
      </c>
      <c r="BK100" s="49"/>
      <c r="BL100" s="49"/>
      <c r="BN100" s="32"/>
      <c r="BO100" s="20" cm="1">
        <f t="array" aca="1" ref="BO100" ca="1">_FV(EE100,"Baixo")</f>
        <v>13.88</v>
      </c>
      <c r="BP100" s="20" cm="1">
        <f t="array" aca="1" ref="BP100" ca="1">_FV(EE100,"Alto")</f>
        <v>14.53</v>
      </c>
      <c r="BQ100" s="32"/>
      <c r="BR100" s="74">
        <f ca="1">SQRT(22.5*(BG100/VLOOKUP(BH100,Fundamentus!A:U,3,FALSE))*(BG100/VLOOKUP(BH100,Fundamentus!A:U,4,FALSE)))</f>
        <v>7.0779487155216669</v>
      </c>
      <c r="BT100" s="73">
        <f t="shared" ca="1" si="99"/>
        <v>-8.3828382838283796E-2</v>
      </c>
      <c r="BU100" s="36">
        <f t="shared" si="100"/>
        <v>-0.43407012195121947</v>
      </c>
      <c r="BV100" s="8"/>
      <c r="BW100" s="72">
        <f t="shared" si="101"/>
        <v>14.67</v>
      </c>
      <c r="BX100" s="72">
        <f t="shared" si="102"/>
        <v>23.082413793103449</v>
      </c>
      <c r="BY100" s="72">
        <f t="shared" si="103"/>
        <v>29.5</v>
      </c>
      <c r="BZ100" s="17"/>
      <c r="CA100" s="17"/>
      <c r="CB100" s="43">
        <f t="shared" si="104"/>
        <v>14.415522033432392</v>
      </c>
      <c r="CC100" s="18">
        <f t="shared" si="105"/>
        <v>14.909156513589522</v>
      </c>
      <c r="CD100" s="43">
        <f t="shared" si="106"/>
        <v>15.402790993746653</v>
      </c>
      <c r="CE100" s="98">
        <f t="shared" ca="1" si="107"/>
        <v>-2.0848554040672518</v>
      </c>
      <c r="CF100" s="17"/>
      <c r="CG100" s="20">
        <f t="shared" si="108"/>
        <v>-4.7833333333333332</v>
      </c>
      <c r="CH100" s="20">
        <f t="shared" si="109"/>
        <v>4.9433333333333334</v>
      </c>
      <c r="CI100" s="20">
        <f t="shared" si="110"/>
        <v>10.046666666666667</v>
      </c>
      <c r="CJ100" s="49">
        <f t="shared" si="111"/>
        <v>19.773333333333333</v>
      </c>
      <c r="CK100" s="20">
        <f t="shared" si="112"/>
        <v>24.876666666666665</v>
      </c>
      <c r="CL100" s="20">
        <f t="shared" si="113"/>
        <v>34.603333333333332</v>
      </c>
      <c r="CM100" s="20">
        <f t="shared" si="114"/>
        <v>39.706666666666663</v>
      </c>
      <c r="CN100" s="2" cm="1">
        <f t="array" aca="1" ref="CN100" ca="1">MAX(_xlfn._xlws.FILTER(CG100:CM100,CG100:CM100&lt;BG100))</f>
        <v>10.046666666666667</v>
      </c>
      <c r="CO100" s="2" cm="1">
        <f t="array" aca="1" ref="CO100" ca="1">MIN(_xlfn._xlws.FILTER($CG100:$CM100,$CG100:$CM100&gt;BG100))</f>
        <v>19.773333333333333</v>
      </c>
      <c r="CP100" s="19">
        <f t="shared" ca="1" si="124"/>
        <v>0.96814863968148646</v>
      </c>
      <c r="CQ100" s="23">
        <f t="shared" ca="1" si="125"/>
        <v>-0.48407431984074323</v>
      </c>
      <c r="CR100" s="23">
        <f t="shared" ca="1" si="126"/>
        <v>-0.32271621322716215</v>
      </c>
      <c r="CS100" s="23">
        <f t="shared" ca="1" si="127"/>
        <v>-0.19362972793629729</v>
      </c>
      <c r="CT100" s="23">
        <f t="shared" ca="1" si="128"/>
        <v>-0.10757207107572071</v>
      </c>
      <c r="CU100" s="23">
        <f t="shared" ca="1" si="129"/>
        <v>-5.6949919981263912E-2</v>
      </c>
      <c r="CV100" s="23">
        <f t="shared" ca="1" si="130"/>
        <v>-2.933783756610565E-2</v>
      </c>
      <c r="CW100" s="23">
        <f t="shared" ca="1" si="131"/>
        <v>-1.4894594456638254E-2</v>
      </c>
      <c r="CX100" s="24">
        <f t="shared" ca="1" si="132"/>
        <v>1.4894594456638254E-2</v>
      </c>
      <c r="CY100" s="24">
        <f t="shared" ca="1" si="133"/>
        <v>2.933783756610565E-2</v>
      </c>
      <c r="CZ100" s="24">
        <f t="shared" ca="1" si="134"/>
        <v>5.6949919981263912E-2</v>
      </c>
      <c r="DA100" s="24">
        <f t="shared" ca="1" si="135"/>
        <v>0.10757207107572071</v>
      </c>
      <c r="DB100" s="24">
        <f t="shared" ca="1" si="136"/>
        <v>0.19362972793629729</v>
      </c>
      <c r="DC100" s="24">
        <f t="shared" ca="1" si="137"/>
        <v>0.32271621322716215</v>
      </c>
      <c r="DD100" s="24">
        <f t="shared" ca="1" si="138"/>
        <v>0.48407431984074323</v>
      </c>
      <c r="DF100" s="19" cm="1">
        <f t="array" aca="1" ref="DF100" ca="1">MAX(_xlfn._xlws.FILTER(CQ100:DD100,CQ100:DD100&lt;BJ100))</f>
        <v>-5.6949919981263912E-2</v>
      </c>
      <c r="DG100" s="19" cm="1">
        <f t="array" aca="1" ref="DG100" ca="1">MIN(_xlfn._xlws.FILTER(CQ100:DD100,CQ100:DD100&gt;BJ100))</f>
        <v>-2.933783756610565E-2</v>
      </c>
      <c r="DH100" s="2" cm="1">
        <f t="array" aca="1" ref="DH100" ca="1">_FV(EE100,"Fechamento anterior",TRUE)</f>
        <v>14.62</v>
      </c>
      <c r="DI100" s="36">
        <f t="shared" ca="1" si="115"/>
        <v>0.22940409965411418</v>
      </c>
      <c r="DJ100" s="18">
        <f t="shared" ca="1" si="139"/>
        <v>13.787392169873922</v>
      </c>
      <c r="DK100" s="18">
        <f t="shared" ca="1" si="140"/>
        <v>14.191080814783534</v>
      </c>
      <c r="DL100" s="9"/>
      <c r="DM100" s="9"/>
      <c r="DN100" s="9"/>
      <c r="DO100" s="9"/>
      <c r="DP100" s="79">
        <v>2.7198961376176559E-2</v>
      </c>
      <c r="DQ100" s="79">
        <v>3.1339031339031341E-2</v>
      </c>
      <c r="DR100" s="79">
        <v>3.1339031339031341E-2</v>
      </c>
      <c r="DS100" s="79">
        <f t="shared" ca="1" si="116"/>
        <v>2.7612082415158262E-2</v>
      </c>
      <c r="DT100" s="47"/>
      <c r="DU100" s="43">
        <f t="shared" si="117"/>
        <v>0.24681724007856537</v>
      </c>
      <c r="DV100" s="83">
        <f t="shared" ca="1" si="118"/>
        <v>1.2325999999999999</v>
      </c>
      <c r="DW100" s="83">
        <f t="shared" ca="1" si="119"/>
        <v>5.8681000000000001</v>
      </c>
      <c r="DX100" s="83">
        <f t="shared" ca="1" si="120"/>
        <v>-4.6355000000000004</v>
      </c>
      <c r="DY100" s="67"/>
      <c r="DZ100" s="67"/>
      <c r="EA100" s="85"/>
      <c r="EB100" s="44">
        <v>13500000</v>
      </c>
      <c r="EC100" s="44" cm="1">
        <f t="array" aca="1" ref="EC100" ca="1">_FV(EE100,"Volume")</f>
        <v>8135400</v>
      </c>
      <c r="EE100" s="2" t="e" vm="100">
        <v>#VALUE!</v>
      </c>
      <c r="EG100" s="10" cm="1">
        <f t="array" aca="1" ref="EG100" ca="1">_FV(EE100,"Ações em circulação",TRUE)</f>
        <v>1718007000</v>
      </c>
      <c r="EH100" s="21">
        <f>VLOOKUP(BH100,Fundamentus!A:U,5,FALSE)</f>
        <v>0.64500000000000002</v>
      </c>
      <c r="EI100" s="2">
        <f t="shared" ca="1" si="121"/>
        <v>36970445209.302322</v>
      </c>
      <c r="EJ100" s="20">
        <v>1198489673.9302325</v>
      </c>
      <c r="EK100" s="20">
        <f t="shared" ca="1" si="122"/>
        <v>1098022222.716279</v>
      </c>
      <c r="EM100" s="40" t="str">
        <f>IF(VLOOKUP(BH100,Fundamentus!A:U,3,FALSE)&lt;15,"Bom",IF(VLOOKUP(BH100,Fundamentus!A:U,3,FALSE)&gt;15,"Ruim","n/a"))</f>
        <v>Ruim</v>
      </c>
      <c r="EN100" s="36" t="str">
        <f>IF(VLOOKUP(BH100,Fundamentus!A:U,4,FALSE)&lt;1,"Baixo",IF(VLOOKUP(BH100,Fundamentus!A:U,4,FALSE)&lt;1.5,"Moderado",IF(VLOOKUP(BH100,Fundamentus!A:U,4,FALSE)&gt;1.5,"Alto","n/a")))</f>
        <v>Alto</v>
      </c>
      <c r="EO100" s="20" t="str">
        <f>IF(VLOOKUP(BH100,Fundamentus!A:U,8,FALSE)&lt;0,"Risco elevado",IF(VLOOKUP(BH100,Fundamentus!A:U,8,FALSE)&lt;1,"Saudável",IF(VLOOKUP(BH100,Fundamentus!A:U,8,FALSE)&lt;3,"Estável",IF(VLOOKUP(BH100,Fundamentus!A:U,8,FALSE)&gt;3,"Alerta","n/a"))))</f>
        <v>Alerta</v>
      </c>
      <c r="EP100" s="36" t="str">
        <f t="shared" si="123"/>
        <v>Ruim</v>
      </c>
      <c r="EQ100" s="20" t="str">
        <f>IF(VLOOKUP(BH100,Fundamentus!A:U,12,FALSE)&lt;2,"Subvalorizada",IF(VLOOKUP(BH100,Fundamentus!A:U,12,FALSE)&lt;6,"Muita barata",IF(VLOOKUP(BH100,Fundamentus!A:U,12,FALSE)&lt;6,"Barata",IF(VLOOKUP(BH100,Fundamentus!A:U,12,FALSE)&lt;8,"Atrativa",IF(VLOOKUP(BH100,Fundamentus!A:U,12,FALSE)&gt;8,"Supervalorizada","n/a")))))</f>
        <v>Atrativa</v>
      </c>
      <c r="ES100" s="20" t="str">
        <f>IF(VLOOKUP(BH100,Fundamentus!A:U,17,FALSE)&lt;0.1,"Fraco retorno",IF(VLOOKUP(BH100,Fundamentus!A:U,17,FALSE)&gt;0.1,"Bom retorno","n/a"))</f>
        <v>Bom retorno</v>
      </c>
      <c r="ET100" s="20" t="str">
        <f>IF(VLOOKUP(BH100,Fundamentus!A:U,16,FALSE)&lt;0.1,"Ineficiente",IF(VLOOKUP(BH100,Fundamentus!A:U,16,FALSE)&gt;0.1,"Eficiente","n/a"))</f>
        <v>Eficiente</v>
      </c>
      <c r="EU100" s="41" t="str">
        <f>IF(VLOOKUP(BH100,Fundamentus!A:U,16,FALSE)&lt;0.1,"Oper. Ineficiente",IF(VLOOKUP(BH100,Fundamentus!A:U,16,FALSE)&gt;0.1,"Oper.Eficiente","n/a"))</f>
        <v>Oper.Eficiente</v>
      </c>
      <c r="EV100" s="42">
        <f>VLOOKUP(BH100,Fundamentus!A:U,14,FALSE)</f>
        <v>2.9700000000000001E-2</v>
      </c>
      <c r="EW100" s="20" t="str">
        <f>IF(VLOOKUP(BH100,Fundamentus!A:U,21,FALSE)&lt;0,"Negativo",IF(VLOOKUP(BH100,Fundamentus!A:U,21,FALSE)&lt;0.05,"Fraco",IF(VLOOKUP(BH100,Fundamentus!A:U,21,FALSE)&lt;0.1,"Bom",IF(VLOOKUP(BH100,Fundamentus!A:U,21,FALSE)&gt;0.1,"Muito bom","n/a"))))</f>
        <v>Muito bom</v>
      </c>
      <c r="EY100" s="37" t="str">
        <f>IF(VLOOKUP(BH100,Fundamentus!A:U,15,FALSE)&gt;1,"Bom",IF(VLOOKUP(BH100,Fundamentus!A:U,15,FALSE)&lt;1,"Ruim","n/a"))</f>
        <v>Bom</v>
      </c>
      <c r="EZ100" s="20" t="str">
        <f>IF(VLOOKUP(BH100,Fundamentus!A:U,20,FALSE)&lt;0.5,"Baixa",IF(VLOOKUP(BH100,Fundamentus!A:U,20,FALSE)&lt;1,"Moderada",IF(VLOOKUP(BH100,Fundamentus!A:U,20,FALSE)&lt;2,"Alerta",IF(VLOOKUP(BH100,Fundamentus!A:U,20,FALSE)&gt;2,"Alta","n/a"))))</f>
        <v>Baixa</v>
      </c>
      <c r="FA100" s="10"/>
    </row>
    <row r="101" spans="1:157" s="2" customFormat="1" ht="11.25" hidden="1" x14ac:dyDescent="0.2">
      <c r="A101" s="4">
        <v>19.100000000000001</v>
      </c>
      <c r="B101" s="4">
        <v>18.66</v>
      </c>
      <c r="C101" s="4">
        <v>19.07</v>
      </c>
      <c r="D101" s="4">
        <v>18.7</v>
      </c>
      <c r="E101" s="4">
        <v>18.54</v>
      </c>
      <c r="F101" s="4">
        <v>18.03</v>
      </c>
      <c r="G101" s="4">
        <v>17.61</v>
      </c>
      <c r="H101" s="4">
        <v>17.239999999999998</v>
      </c>
      <c r="I101" s="4">
        <v>17.239999999999998</v>
      </c>
      <c r="J101" s="4">
        <v>17.190000000000001</v>
      </c>
      <c r="K101" s="4">
        <v>17.61</v>
      </c>
      <c r="L101" s="4">
        <v>16.95</v>
      </c>
      <c r="M101" s="4">
        <v>17.239999999999998</v>
      </c>
      <c r="N101" s="4">
        <v>18.02</v>
      </c>
      <c r="O101" s="4">
        <v>18.670000000000002</v>
      </c>
      <c r="P101" s="4">
        <v>17.559999999999999</v>
      </c>
      <c r="Q101" s="4">
        <v>17.48</v>
      </c>
      <c r="R101" s="4">
        <v>18.05</v>
      </c>
      <c r="S101" s="4">
        <v>18.11</v>
      </c>
      <c r="T101" s="4">
        <v>18.559999999999999</v>
      </c>
      <c r="U101" s="4">
        <v>18.579999999999998</v>
      </c>
      <c r="V101" s="4">
        <v>18.559999999999999</v>
      </c>
      <c r="W101" s="4">
        <v>18.32</v>
      </c>
      <c r="X101" s="4">
        <v>17.88</v>
      </c>
      <c r="Y101" s="4">
        <v>17.89</v>
      </c>
      <c r="Z101" s="4">
        <v>17.440000000000001</v>
      </c>
      <c r="AA101" s="4">
        <v>16.739999999999998</v>
      </c>
      <c r="AB101" s="4">
        <v>16.71</v>
      </c>
      <c r="AC101" s="4">
        <v>17.71</v>
      </c>
      <c r="AD101" s="4">
        <v>17.440000000000001</v>
      </c>
      <c r="AE101" s="4">
        <v>16.2</v>
      </c>
      <c r="AF101" s="4">
        <v>16</v>
      </c>
      <c r="AG101" s="4">
        <v>15.07</v>
      </c>
      <c r="AH101" s="4">
        <v>14.15</v>
      </c>
      <c r="AI101" s="4">
        <v>14.18</v>
      </c>
      <c r="AJ101" s="4">
        <v>14.03</v>
      </c>
      <c r="AK101" s="4">
        <v>14.17</v>
      </c>
      <c r="AL101" s="4">
        <v>13.84</v>
      </c>
      <c r="AM101" s="4">
        <v>14.26</v>
      </c>
      <c r="AN101" s="4">
        <v>14.99</v>
      </c>
      <c r="AO101" s="4">
        <v>14.35</v>
      </c>
      <c r="AP101" s="4">
        <v>15.25</v>
      </c>
      <c r="AQ101" s="4">
        <v>15.04</v>
      </c>
      <c r="AR101" s="4">
        <v>13.45</v>
      </c>
      <c r="AS101" s="4">
        <v>13.61</v>
      </c>
      <c r="AT101" s="4">
        <v>14.39</v>
      </c>
      <c r="AU101" s="4">
        <v>14.015000000000001</v>
      </c>
      <c r="AV101" s="4">
        <v>13.81</v>
      </c>
      <c r="AW101" s="4">
        <v>13.1</v>
      </c>
      <c r="AX101" s="4">
        <v>13.19</v>
      </c>
      <c r="AY101" s="12">
        <v>14.22</v>
      </c>
      <c r="AZ101" s="12">
        <v>15</v>
      </c>
      <c r="BA101" s="12">
        <v>15.1</v>
      </c>
      <c r="BB101" s="18">
        <v>15.15</v>
      </c>
      <c r="BC101" s="63">
        <v>15.55</v>
      </c>
      <c r="BD101" s="63">
        <v>14.83</v>
      </c>
      <c r="BE101" s="63">
        <v>15</v>
      </c>
      <c r="BF101" s="63">
        <v>15.08</v>
      </c>
      <c r="BG101" s="91" cm="1">
        <f t="array" aca="1" ref="BG101" ca="1">_FV(EE101,"Preço")</f>
        <v>14.85</v>
      </c>
      <c r="BH101" s="93" t="s">
        <v>99</v>
      </c>
      <c r="BI101" s="32" cm="1">
        <f t="array" aca="1" ref="BI101" ca="1">_FV(EE101,"Beta")</f>
        <v>1.2817000000000001</v>
      </c>
      <c r="BJ101" s="96" cm="1">
        <f t="array" aca="1" ref="BJ101" ca="1">_FV(EE101,"Variação (%)",TRUE)</f>
        <v>-4.0239999999999998E-3</v>
      </c>
      <c r="BK101" s="49"/>
      <c r="BL101" s="49"/>
      <c r="BN101" s="32"/>
      <c r="BO101" s="20" cm="1">
        <f t="array" aca="1" ref="BO101" ca="1">_FV(EE101,"Baixo")</f>
        <v>14.75</v>
      </c>
      <c r="BP101" s="20" cm="1">
        <f t="array" aca="1" ref="BP101" ca="1">_FV(EE101,"Alto")</f>
        <v>15.2</v>
      </c>
      <c r="BQ101" s="32"/>
      <c r="BR101" s="74">
        <f ca="1">SQRT(22.5*(BG101/VLOOKUP(BH101,Fundamentus!A:U,3,FALSE))*(BG101/VLOOKUP(BH101,Fundamentus!A:U,4,FALSE)))</f>
        <v>10.676744350522464</v>
      </c>
      <c r="BT101" s="73">
        <f t="shared" ca="1" si="99"/>
        <v>-1.5251989389920452E-2</v>
      </c>
      <c r="BU101" s="36">
        <f t="shared" si="100"/>
        <v>-0.21465968586387441</v>
      </c>
      <c r="BV101" s="8"/>
      <c r="BW101" s="72">
        <f t="shared" si="101"/>
        <v>13.1</v>
      </c>
      <c r="BX101" s="72">
        <f t="shared" si="102"/>
        <v>16.274568965517243</v>
      </c>
      <c r="BY101" s="72">
        <f t="shared" si="103"/>
        <v>19.100000000000001</v>
      </c>
      <c r="BZ101" s="17"/>
      <c r="CA101" s="17"/>
      <c r="CB101" s="43">
        <f t="shared" si="104"/>
        <v>14.263503109398194</v>
      </c>
      <c r="CC101" s="18">
        <f t="shared" si="105"/>
        <v>14.797263355201494</v>
      </c>
      <c r="CD101" s="43">
        <f t="shared" si="106"/>
        <v>15.331023601004794</v>
      </c>
      <c r="CE101" s="98">
        <f t="shared" ca="1" si="107"/>
        <v>9.8802121763747711E-2</v>
      </c>
      <c r="CF101" s="17"/>
      <c r="CG101" s="20">
        <f t="shared" si="108"/>
        <v>6.4199999999999964</v>
      </c>
      <c r="CH101" s="20">
        <f t="shared" si="109"/>
        <v>9.759999999999998</v>
      </c>
      <c r="CI101" s="20">
        <f t="shared" si="110"/>
        <v>12.419999999999998</v>
      </c>
      <c r="CJ101" s="49">
        <f t="shared" si="111"/>
        <v>15.76</v>
      </c>
      <c r="CK101" s="20">
        <f t="shared" si="112"/>
        <v>18.420000000000002</v>
      </c>
      <c r="CL101" s="20">
        <f t="shared" si="113"/>
        <v>21.76</v>
      </c>
      <c r="CM101" s="20">
        <f t="shared" si="114"/>
        <v>24.42</v>
      </c>
      <c r="CN101" s="2" cm="1">
        <f t="array" aca="1" ref="CN101" ca="1">MAX(_xlfn._xlws.FILTER(CG101:CM101,CG101:CM101&lt;BG101))</f>
        <v>12.419999999999998</v>
      </c>
      <c r="CO101" s="2" cm="1">
        <f t="array" aca="1" ref="CO101" ca="1">MIN(_xlfn._xlws.FILTER($CG101:$CM101,$CG101:$CM101&gt;BG101))</f>
        <v>15.76</v>
      </c>
      <c r="CP101" s="19">
        <f t="shared" ca="1" si="124"/>
        <v>0.26892109500805161</v>
      </c>
      <c r="CQ101" s="23">
        <f t="shared" ca="1" si="125"/>
        <v>-0.13446054750402581</v>
      </c>
      <c r="CR101" s="23">
        <f t="shared" ca="1" si="126"/>
        <v>-8.9640365002683867E-2</v>
      </c>
      <c r="CS101" s="23">
        <f t="shared" ca="1" si="127"/>
        <v>-5.3784219001610324E-2</v>
      </c>
      <c r="CT101" s="23">
        <f t="shared" ca="1" si="128"/>
        <v>-2.988012166756129E-2</v>
      </c>
      <c r="CU101" s="23">
        <f t="shared" ca="1" si="129"/>
        <v>-1.5818887941650095E-2</v>
      </c>
      <c r="CV101" s="23">
        <f t="shared" ca="1" si="130"/>
        <v>-8.1491240911530788E-3</v>
      </c>
      <c r="CW101" s="23">
        <f t="shared" ca="1" si="131"/>
        <v>-4.1372476155084863E-3</v>
      </c>
      <c r="CX101" s="24">
        <f t="shared" ca="1" si="132"/>
        <v>4.1372476155084863E-3</v>
      </c>
      <c r="CY101" s="24">
        <f t="shared" ca="1" si="133"/>
        <v>8.1491240911530788E-3</v>
      </c>
      <c r="CZ101" s="24">
        <f t="shared" ca="1" si="134"/>
        <v>1.5818887941650095E-2</v>
      </c>
      <c r="DA101" s="24">
        <f t="shared" ca="1" si="135"/>
        <v>2.988012166756129E-2</v>
      </c>
      <c r="DB101" s="24">
        <f t="shared" ca="1" si="136"/>
        <v>5.3784219001610324E-2</v>
      </c>
      <c r="DC101" s="24">
        <f t="shared" ca="1" si="137"/>
        <v>8.9640365002683867E-2</v>
      </c>
      <c r="DD101" s="24">
        <f t="shared" ca="1" si="138"/>
        <v>0.13446054750402581</v>
      </c>
      <c r="DF101" s="19" cm="1">
        <f t="array" aca="1" ref="DF101" ca="1">MAX(_xlfn._xlws.FILTER(CQ101:DD101,CQ101:DD101&lt;BJ101))</f>
        <v>-4.1372476155084863E-3</v>
      </c>
      <c r="DG101" s="19" cm="1">
        <f t="array" aca="1" ref="DG101" ca="1">MIN(_xlfn._xlws.FILTER(CQ101:DD101,CQ101:DD101&gt;BJ101))</f>
        <v>4.1372476155084863E-3</v>
      </c>
      <c r="DH101" s="2" cm="1">
        <f t="array" aca="1" ref="DH101" ca="1">_FV(EE101,"Fechamento anterior",TRUE)</f>
        <v>14.91</v>
      </c>
      <c r="DI101" s="36">
        <f t="shared" ca="1" si="115"/>
        <v>1.3668839383600579E-2</v>
      </c>
      <c r="DJ101" s="18">
        <f t="shared" ca="1" si="139"/>
        <v>14.848313638052769</v>
      </c>
      <c r="DK101" s="18">
        <f t="shared" ca="1" si="140"/>
        <v>14.971686361947231</v>
      </c>
      <c r="DL101" s="9"/>
      <c r="DM101" s="9"/>
      <c r="DN101" s="9"/>
      <c r="DO101" s="9"/>
      <c r="DP101" s="79">
        <v>3.7775495508257494E-3</v>
      </c>
      <c r="DQ101" s="79">
        <v>1.027765733648087E-2</v>
      </c>
      <c r="DR101" s="79">
        <v>5.3760053760053767E-3</v>
      </c>
      <c r="DS101" s="79">
        <f t="shared" ca="1" si="116"/>
        <v>8.2744952310169727E-3</v>
      </c>
      <c r="DT101" s="47"/>
      <c r="DU101" s="43">
        <f t="shared" si="117"/>
        <v>0.26688012290165064</v>
      </c>
      <c r="DV101" s="83">
        <f t="shared" ca="1" si="118"/>
        <v>1.7078</v>
      </c>
      <c r="DW101" s="83">
        <f t="shared" ca="1" si="119"/>
        <v>1.6840999999999999</v>
      </c>
      <c r="DX101" s="83">
        <f t="shared" ca="1" si="120"/>
        <v>2.3700000000000054E-2</v>
      </c>
      <c r="DY101" s="67"/>
      <c r="DZ101" s="67"/>
      <c r="EA101" s="85"/>
      <c r="EB101" s="44">
        <v>2018600</v>
      </c>
      <c r="EC101" s="44" cm="1">
        <f t="array" aca="1" ref="EC101" ca="1">_FV(EE101,"Volume")</f>
        <v>3547200</v>
      </c>
      <c r="EE101" s="2" t="e" vm="101">
        <v>#VALUE!</v>
      </c>
      <c r="EG101" s="10" cm="1">
        <f t="array" aca="1" ref="EG101" ca="1">_FV(EE101,"Ações em circulação",TRUE)</f>
        <v>677280700</v>
      </c>
      <c r="EH101" s="21">
        <f>VLOOKUP(BH101,Fundamentus!A:U,5,FALSE)</f>
        <v>0.65300000000000002</v>
      </c>
      <c r="EI101" s="2">
        <f t="shared" ca="1" si="121"/>
        <v>15402172120.980091</v>
      </c>
      <c r="EJ101" s="20">
        <v>667858926.83185303</v>
      </c>
      <c r="EK101" s="20">
        <f t="shared" ca="1" si="122"/>
        <v>657672749.5658499</v>
      </c>
      <c r="EM101" s="40" t="str">
        <f>IF(VLOOKUP(BH101,Fundamentus!A:U,3,FALSE)&lt;15,"Bom",IF(VLOOKUP(BH101,Fundamentus!A:U,3,FALSE)&gt;15,"Ruim","n/a"))</f>
        <v>Ruim</v>
      </c>
      <c r="EN101" s="36" t="str">
        <f>IF(VLOOKUP(BH101,Fundamentus!A:U,4,FALSE)&lt;1,"Baixo",IF(VLOOKUP(BH101,Fundamentus!A:U,4,FALSE)&lt;1.5,"Moderado",IF(VLOOKUP(BH101,Fundamentus!A:U,4,FALSE)&gt;1.5,"Alto","n/a")))</f>
        <v>Alto</v>
      </c>
      <c r="EO101" s="20" t="str">
        <f>IF(VLOOKUP(BH101,Fundamentus!A:U,8,FALSE)&lt;0,"Risco elevado",IF(VLOOKUP(BH101,Fundamentus!A:U,8,FALSE)&lt;1,"Saudável",IF(VLOOKUP(BH101,Fundamentus!A:U,8,FALSE)&lt;3,"Estável",IF(VLOOKUP(BH101,Fundamentus!A:U,8,FALSE)&gt;3,"Alerta","n/a"))))</f>
        <v>Estável</v>
      </c>
      <c r="EP101" s="36" t="str">
        <f t="shared" si="123"/>
        <v>Ruim</v>
      </c>
      <c r="EQ101" s="20" t="str">
        <f>IF(VLOOKUP(BH101,Fundamentus!A:U,12,FALSE)&lt;2,"Subvalorizada",IF(VLOOKUP(BH101,Fundamentus!A:U,12,FALSE)&lt;6,"Muita barata",IF(VLOOKUP(BH101,Fundamentus!A:U,12,FALSE)&lt;6,"Barata",IF(VLOOKUP(BH101,Fundamentus!A:U,12,FALSE)&lt;8,"Atrativa",IF(VLOOKUP(BH101,Fundamentus!A:U,12,FALSE)&gt;8,"Supervalorizada","n/a")))))</f>
        <v>Atrativa</v>
      </c>
      <c r="ES101" s="20" t="str">
        <f>IF(VLOOKUP(BH101,Fundamentus!A:U,17,FALSE)&lt;0.1,"Fraco retorno",IF(VLOOKUP(BH101,Fundamentus!A:U,17,FALSE)&gt;0.1,"Bom retorno","n/a"))</f>
        <v>Bom retorno</v>
      </c>
      <c r="ET101" s="20" t="str">
        <f>IF(VLOOKUP(BH101,Fundamentus!A:U,16,FALSE)&lt;0.1,"Ineficiente",IF(VLOOKUP(BH101,Fundamentus!A:U,16,FALSE)&gt;0.1,"Eficiente","n/a"))</f>
        <v>Eficiente</v>
      </c>
      <c r="EU101" s="41" t="str">
        <f>IF(VLOOKUP(BH101,Fundamentus!A:U,16,FALSE)&lt;0.1,"Oper. Ineficiente",IF(VLOOKUP(BH101,Fundamentus!A:U,16,FALSE)&gt;0.1,"Oper.Eficiente","n/a"))</f>
        <v>Oper.Eficiente</v>
      </c>
      <c r="EV101" s="42">
        <f>VLOOKUP(BH101,Fundamentus!A:U,14,FALSE)</f>
        <v>4.2700000000000002E-2</v>
      </c>
      <c r="EW101" s="20" t="str">
        <f>IF(VLOOKUP(BH101,Fundamentus!A:U,21,FALSE)&lt;0,"Negativo",IF(VLOOKUP(BH101,Fundamentus!A:U,21,FALSE)&lt;0.05,"Fraco",IF(VLOOKUP(BH101,Fundamentus!A:U,21,FALSE)&lt;0.1,"Bom",IF(VLOOKUP(BH101,Fundamentus!A:U,21,FALSE)&gt;0.1,"Muito bom","n/a"))))</f>
        <v>Muito bom</v>
      </c>
      <c r="EY101" s="37" t="str">
        <f>IF(VLOOKUP(BH101,Fundamentus!A:U,15,FALSE)&gt;1,"Bom",IF(VLOOKUP(BH101,Fundamentus!A:U,15,FALSE)&lt;1,"Ruim","n/a"))</f>
        <v>Bom</v>
      </c>
      <c r="EZ101" s="20" t="str">
        <f>IF(VLOOKUP(BH101,Fundamentus!A:U,20,FALSE)&lt;0.5,"Baixa",IF(VLOOKUP(BH101,Fundamentus!A:U,20,FALSE)&lt;1,"Moderada",IF(VLOOKUP(BH101,Fundamentus!A:U,20,FALSE)&lt;2,"Alerta",IF(VLOOKUP(BH101,Fundamentus!A:U,20,FALSE)&gt;2,"Alta","n/a"))))</f>
        <v>Alerta</v>
      </c>
      <c r="FA101" s="10"/>
    </row>
    <row r="102" spans="1:157" s="2" customFormat="1" ht="11.25" hidden="1" x14ac:dyDescent="0.2">
      <c r="A102" s="4">
        <v>4.45</v>
      </c>
      <c r="B102" s="4">
        <v>4.2</v>
      </c>
      <c r="C102" s="4">
        <v>4.17</v>
      </c>
      <c r="D102" s="4">
        <v>4.0199999999999996</v>
      </c>
      <c r="E102" s="4">
        <v>4.01</v>
      </c>
      <c r="F102" s="4">
        <v>3.69</v>
      </c>
      <c r="G102" s="4">
        <v>3.62</v>
      </c>
      <c r="H102" s="4">
        <v>3.77</v>
      </c>
      <c r="I102" s="4">
        <v>3.72</v>
      </c>
      <c r="J102" s="4">
        <v>4</v>
      </c>
      <c r="K102" s="4">
        <v>4</v>
      </c>
      <c r="L102" s="4">
        <v>3.77</v>
      </c>
      <c r="M102" s="4">
        <v>3.6</v>
      </c>
      <c r="N102" s="4">
        <v>3.49</v>
      </c>
      <c r="O102" s="4">
        <v>3.8</v>
      </c>
      <c r="P102" s="4">
        <v>3.59</v>
      </c>
      <c r="Q102" s="4">
        <v>3.79</v>
      </c>
      <c r="R102" s="4">
        <v>3.49</v>
      </c>
      <c r="S102" s="4">
        <v>3.54</v>
      </c>
      <c r="T102" s="4">
        <v>3.52</v>
      </c>
      <c r="U102" s="4">
        <v>3.42</v>
      </c>
      <c r="V102" s="4">
        <v>3.44</v>
      </c>
      <c r="W102" s="4">
        <v>3.41</v>
      </c>
      <c r="X102" s="4">
        <v>3.26</v>
      </c>
      <c r="Y102" s="4">
        <v>3.3</v>
      </c>
      <c r="Z102" s="4">
        <v>3.21</v>
      </c>
      <c r="AA102" s="4">
        <v>3.07</v>
      </c>
      <c r="AB102" s="4">
        <v>3.25</v>
      </c>
      <c r="AC102" s="4">
        <v>3.2</v>
      </c>
      <c r="AD102" s="4">
        <v>3.25</v>
      </c>
      <c r="AE102" s="4">
        <v>3</v>
      </c>
      <c r="AF102" s="4">
        <v>2.78</v>
      </c>
      <c r="AG102" s="4">
        <v>2.84</v>
      </c>
      <c r="AH102" s="4">
        <v>2.83</v>
      </c>
      <c r="AI102" s="4">
        <v>2.78</v>
      </c>
      <c r="AJ102" s="4">
        <v>2.72</v>
      </c>
      <c r="AK102" s="4">
        <v>2.71</v>
      </c>
      <c r="AL102" s="4">
        <v>2.95</v>
      </c>
      <c r="AM102" s="4">
        <v>2.85</v>
      </c>
      <c r="AN102" s="4">
        <v>2.65</v>
      </c>
      <c r="AO102" s="4">
        <v>2.4500000000000002</v>
      </c>
      <c r="AP102" s="4">
        <v>2.4900000000000002</v>
      </c>
      <c r="AQ102" s="4">
        <v>2.1800000000000002</v>
      </c>
      <c r="AR102" s="4">
        <v>1.98</v>
      </c>
      <c r="AS102" s="4">
        <v>2.3199999999999998</v>
      </c>
      <c r="AT102" s="4">
        <v>2.23</v>
      </c>
      <c r="AU102" s="4">
        <v>2.2749999999999999</v>
      </c>
      <c r="AV102" s="4">
        <v>2.2799999999999998</v>
      </c>
      <c r="AW102" s="4">
        <v>2.21</v>
      </c>
      <c r="AX102" s="4">
        <v>2.2599999999999998</v>
      </c>
      <c r="AY102" s="12">
        <v>2.68</v>
      </c>
      <c r="AZ102" s="12">
        <v>2.8</v>
      </c>
      <c r="BA102" s="12">
        <v>3.03</v>
      </c>
      <c r="BB102" s="18">
        <v>2.95</v>
      </c>
      <c r="BC102" s="63">
        <v>2.85</v>
      </c>
      <c r="BD102" s="63">
        <v>2.95</v>
      </c>
      <c r="BE102" s="63">
        <v>3.18</v>
      </c>
      <c r="BF102" s="63">
        <v>3.3</v>
      </c>
      <c r="BG102" s="91" cm="1">
        <f t="array" aca="1" ref="BG102" ca="1">_FV(EE102,"Preço")</f>
        <v>3.7</v>
      </c>
      <c r="BH102" s="93" t="s">
        <v>100</v>
      </c>
      <c r="BI102" s="32" cm="1">
        <f t="array" aca="1" ref="BI102" ca="1">_FV(EE102,"Beta")</f>
        <v>1.2327999999999999</v>
      </c>
      <c r="BJ102" s="96" cm="1">
        <f t="array" aca="1" ref="BJ102" ca="1">_FV(EE102,"Variação (%)",TRUE)</f>
        <v>3.0640999999999998E-2</v>
      </c>
      <c r="BK102" s="49"/>
      <c r="BL102" s="49"/>
      <c r="BN102" s="32"/>
      <c r="BO102" s="20" cm="1">
        <f t="array" aca="1" ref="BO102" ca="1">_FV(EE102,"Baixo")</f>
        <v>3.57</v>
      </c>
      <c r="BP102" s="20" cm="1">
        <f t="array" aca="1" ref="BP102" ca="1">_FV(EE102,"Alto")</f>
        <v>3.71</v>
      </c>
      <c r="BQ102" s="32"/>
      <c r="BR102" s="74" t="e">
        <f ca="1">SQRT(22.5*(BG102/VLOOKUP(BH102,Fundamentus!A:U,3,FALSE))*(BG102/VLOOKUP(BH102,Fundamentus!A:U,4,FALSE)))</f>
        <v>#NUM!</v>
      </c>
      <c r="BT102" s="73">
        <f t="shared" ca="1" si="99"/>
        <v>0.12121212121212133</v>
      </c>
      <c r="BU102" s="36">
        <f t="shared" si="100"/>
        <v>-0.28539325842696628</v>
      </c>
      <c r="BV102" s="8"/>
      <c r="BW102" s="72">
        <f t="shared" si="101"/>
        <v>1.98</v>
      </c>
      <c r="BX102" s="72">
        <f t="shared" si="102"/>
        <v>3.1650862068965515</v>
      </c>
      <c r="BY102" s="72">
        <f t="shared" si="103"/>
        <v>4.45</v>
      </c>
      <c r="BZ102" s="17"/>
      <c r="CA102" s="17"/>
      <c r="CB102" s="43">
        <f t="shared" si="104"/>
        <v>3.0951235492381888</v>
      </c>
      <c r="CC102" s="18">
        <f t="shared" si="105"/>
        <v>3.4526148078725782</v>
      </c>
      <c r="CD102" s="43">
        <f t="shared" si="106"/>
        <v>3.8101060665069677</v>
      </c>
      <c r="CE102" s="98">
        <f t="shared" ca="1" si="107"/>
        <v>0.69200347183992461</v>
      </c>
      <c r="CF102" s="17"/>
      <c r="CG102" s="20">
        <f t="shared" si="108"/>
        <v>-0.43333333333333313</v>
      </c>
      <c r="CH102" s="20">
        <f t="shared" si="109"/>
        <v>0.77333333333333343</v>
      </c>
      <c r="CI102" s="20">
        <f t="shared" si="110"/>
        <v>2.0366666666666671</v>
      </c>
      <c r="CJ102" s="49">
        <f t="shared" si="111"/>
        <v>3.2433333333333336</v>
      </c>
      <c r="CK102" s="20">
        <f t="shared" si="112"/>
        <v>4.5066666666666677</v>
      </c>
      <c r="CL102" s="20">
        <f t="shared" si="113"/>
        <v>5.7133333333333338</v>
      </c>
      <c r="CM102" s="20">
        <f t="shared" si="114"/>
        <v>6.9766666666666675</v>
      </c>
      <c r="CN102" s="2" cm="1">
        <f t="array" aca="1" ref="CN102" ca="1">MAX(_xlfn._xlws.FILTER(CG102:CM102,CG102:CM102&lt;BG102))</f>
        <v>3.2433333333333336</v>
      </c>
      <c r="CO102" s="2" cm="1">
        <f t="array" aca="1" ref="CO102" ca="1">MIN(_xlfn._xlws.FILTER($CG102:$CM102,$CG102:$CM102&gt;BG102))</f>
        <v>4.5066666666666677</v>
      </c>
      <c r="CP102" s="19">
        <f t="shared" ca="1" si="124"/>
        <v>0.38951695786228191</v>
      </c>
      <c r="CQ102" s="23">
        <f t="shared" ca="1" si="125"/>
        <v>-0.19475847893114095</v>
      </c>
      <c r="CR102" s="23">
        <f t="shared" ca="1" si="126"/>
        <v>-0.12983898595409396</v>
      </c>
      <c r="CS102" s="23">
        <f t="shared" ca="1" si="127"/>
        <v>-7.7903391572456376E-2</v>
      </c>
      <c r="CT102" s="23">
        <f t="shared" ca="1" si="128"/>
        <v>-4.3279661984697987E-2</v>
      </c>
      <c r="CU102" s="23">
        <f t="shared" ca="1" si="129"/>
        <v>-2.2912762227193052E-2</v>
      </c>
      <c r="CV102" s="23">
        <f t="shared" ca="1" si="130"/>
        <v>-1.1803544177644907E-2</v>
      </c>
      <c r="CW102" s="23">
        <f t="shared" ca="1" si="131"/>
        <v>-5.9925685824966449E-3</v>
      </c>
      <c r="CX102" s="24">
        <f t="shared" ca="1" si="132"/>
        <v>5.9925685824966449E-3</v>
      </c>
      <c r="CY102" s="24">
        <f t="shared" ca="1" si="133"/>
        <v>1.1803544177644907E-2</v>
      </c>
      <c r="CZ102" s="24">
        <f t="shared" ca="1" si="134"/>
        <v>2.2912762227193052E-2</v>
      </c>
      <c r="DA102" s="24">
        <f t="shared" ca="1" si="135"/>
        <v>4.3279661984697987E-2</v>
      </c>
      <c r="DB102" s="24">
        <f t="shared" ca="1" si="136"/>
        <v>7.7903391572456376E-2</v>
      </c>
      <c r="DC102" s="24">
        <f t="shared" ca="1" si="137"/>
        <v>0.12983898595409396</v>
      </c>
      <c r="DD102" s="24">
        <f t="shared" ca="1" si="138"/>
        <v>0.19475847893114095</v>
      </c>
      <c r="DF102" s="19" cm="1">
        <f t="array" aca="1" ref="DF102" ca="1">MAX(_xlfn._xlws.FILTER(CQ102:DD102,CQ102:DD102&lt;BJ102))</f>
        <v>2.2912762227193052E-2</v>
      </c>
      <c r="DG102" s="19" cm="1">
        <f t="array" aca="1" ref="DG102" ca="1">MIN(_xlfn._xlws.FILTER(CQ102:DD102,CQ102:DD102&gt;BJ102))</f>
        <v>4.3279661984697987E-2</v>
      </c>
      <c r="DH102" s="2" cm="1">
        <f t="array" aca="1" ref="DH102" ca="1">_FV(EE102,"Fechamento anterior",TRUE)</f>
        <v>3.59</v>
      </c>
      <c r="DI102" s="36">
        <f t="shared" ca="1" si="115"/>
        <v>0.3794345918374874</v>
      </c>
      <c r="DJ102" s="18">
        <f t="shared" ca="1" si="139"/>
        <v>3.6722568163956231</v>
      </c>
      <c r="DK102" s="18">
        <f t="shared" ca="1" si="140"/>
        <v>3.7453739865250655</v>
      </c>
      <c r="DL102" s="9"/>
      <c r="DM102" s="9"/>
      <c r="DN102" s="9"/>
      <c r="DO102" s="9"/>
      <c r="DP102" s="79">
        <v>8.3764129368102298E-3</v>
      </c>
      <c r="DQ102" s="79">
        <v>8.3764129368102298E-3</v>
      </c>
      <c r="DR102" s="79">
        <v>8.3764129368102298E-3</v>
      </c>
      <c r="DS102" s="79">
        <f t="shared" ca="1" si="116"/>
        <v>2.0366899757504935E-2</v>
      </c>
      <c r="DT102" s="47"/>
      <c r="DU102" s="43">
        <f t="shared" si="117"/>
        <v>0.1787456293171947</v>
      </c>
      <c r="DV102" s="83">
        <f t="shared" ca="1" si="118"/>
        <v>1.6588999999999998</v>
      </c>
      <c r="DW102" s="83">
        <f t="shared" ca="1" si="119"/>
        <v>-1.8312999999999999</v>
      </c>
      <c r="DX102" s="83">
        <f t="shared" ca="1" si="120"/>
        <v>3.4901999999999997</v>
      </c>
      <c r="DY102" s="67"/>
      <c r="DZ102" s="67"/>
      <c r="EA102" s="85"/>
      <c r="EB102" s="44">
        <v>2689000</v>
      </c>
      <c r="EC102" s="44" cm="1">
        <f t="array" aca="1" ref="EC102" ca="1">_FV(EE102,"Volume")</f>
        <v>2584200</v>
      </c>
      <c r="EE102" s="2" t="e" vm="102">
        <v>#VALUE!</v>
      </c>
      <c r="EG102" s="10" cm="1">
        <f t="array" aca="1" ref="EG102" ca="1">_FV(EE102,"Ações em circulação",TRUE)</f>
        <v>1360383000</v>
      </c>
      <c r="EH102" s="21">
        <f>VLOOKUP(BH102,Fundamentus!A:U,5,FALSE)</f>
        <v>3.161</v>
      </c>
      <c r="EI102" s="2">
        <f t="shared" ca="1" si="121"/>
        <v>1592349604.5555203</v>
      </c>
      <c r="EJ102" s="20">
        <v>-522919002.84087312</v>
      </c>
      <c r="EK102" s="20">
        <f t="shared" ca="1" si="122"/>
        <v>-586303124.39734256</v>
      </c>
      <c r="EM102" s="40" t="str">
        <f>IF(VLOOKUP(BH102,Fundamentus!A:U,3,FALSE)&lt;15,"Bom",IF(VLOOKUP(BH102,Fundamentus!A:U,3,FALSE)&gt;15,"Ruim","n/a"))</f>
        <v>Bom</v>
      </c>
      <c r="EN102" s="36" t="str">
        <f>IF(VLOOKUP(BH102,Fundamentus!A:U,4,FALSE)&lt;1,"Baixo",IF(VLOOKUP(BH102,Fundamentus!A:U,4,FALSE)&lt;1.5,"Moderado",IF(VLOOKUP(BH102,Fundamentus!A:U,4,FALSE)&gt;1.5,"Alto","n/a")))</f>
        <v>Alto</v>
      </c>
      <c r="EO102" s="20" t="str">
        <f>IF(VLOOKUP(BH102,Fundamentus!A:U,8,FALSE)&lt;0,"Risco elevado",IF(VLOOKUP(BH102,Fundamentus!A:U,8,FALSE)&lt;1,"Saudável",IF(VLOOKUP(BH102,Fundamentus!A:U,8,FALSE)&lt;3,"Estável",IF(VLOOKUP(BH102,Fundamentus!A:U,8,FALSE)&gt;3,"Alerta","n/a"))))</f>
        <v>Alerta</v>
      </c>
      <c r="EP102" s="36" t="str">
        <f t="shared" si="123"/>
        <v>Bom</v>
      </c>
      <c r="EQ102" s="20" t="str">
        <f>IF(VLOOKUP(BH102,Fundamentus!A:U,12,FALSE)&lt;2,"Subvalorizada",IF(VLOOKUP(BH102,Fundamentus!A:U,12,FALSE)&lt;6,"Muita barata",IF(VLOOKUP(BH102,Fundamentus!A:U,12,FALSE)&lt;6,"Barata",IF(VLOOKUP(BH102,Fundamentus!A:U,12,FALSE)&lt;8,"Atrativa",IF(VLOOKUP(BH102,Fundamentus!A:U,12,FALSE)&gt;8,"Supervalorizada","n/a")))))</f>
        <v>Supervalorizada</v>
      </c>
      <c r="ES102" s="20" t="str">
        <f>IF(VLOOKUP(BH102,Fundamentus!A:U,17,FALSE)&lt;0.1,"Fraco retorno",IF(VLOOKUP(BH102,Fundamentus!A:U,17,FALSE)&gt;0.1,"Bom retorno","n/a"))</f>
        <v>Fraco retorno</v>
      </c>
      <c r="ET102" s="20" t="str">
        <f>IF(VLOOKUP(BH102,Fundamentus!A:U,16,FALSE)&lt;0.1,"Ineficiente",IF(VLOOKUP(BH102,Fundamentus!A:U,16,FALSE)&gt;0.1,"Eficiente","n/a"))</f>
        <v>Ineficiente</v>
      </c>
      <c r="EU102" s="41" t="str">
        <f>IF(VLOOKUP(BH102,Fundamentus!A:U,16,FALSE)&lt;0.1,"Oper. Ineficiente",IF(VLOOKUP(BH102,Fundamentus!A:U,16,FALSE)&gt;0.1,"Oper.Eficiente","n/a"))</f>
        <v>Oper. Ineficiente</v>
      </c>
      <c r="EV102" s="42">
        <f>VLOOKUP(BH102,Fundamentus!A:U,14,FALSE)</f>
        <v>-0.36820000000000003</v>
      </c>
      <c r="EW102" s="20" t="str">
        <f>IF(VLOOKUP(BH102,Fundamentus!A:U,21,FALSE)&lt;0,"Negativo",IF(VLOOKUP(BH102,Fundamentus!A:U,21,FALSE)&lt;0.05,"Fraco",IF(VLOOKUP(BH102,Fundamentus!A:U,21,FALSE)&lt;0.1,"Bom",IF(VLOOKUP(BH102,Fundamentus!A:U,21,FALSE)&gt;0.1,"Muito bom","n/a"))))</f>
        <v>Fraco</v>
      </c>
      <c r="EY102" s="37" t="str">
        <f>IF(VLOOKUP(BH102,Fundamentus!A:U,15,FALSE)&gt;1,"Bom",IF(VLOOKUP(BH102,Fundamentus!A:U,15,FALSE)&lt;1,"Ruim","n/a"))</f>
        <v>Bom</v>
      </c>
      <c r="EZ102" s="20" t="str">
        <f>IF(VLOOKUP(BH102,Fundamentus!A:U,20,FALSE)&lt;0.5,"Baixa",IF(VLOOKUP(BH102,Fundamentus!A:U,20,FALSE)&lt;1,"Moderada",IF(VLOOKUP(BH102,Fundamentus!A:U,20,FALSE)&lt;2,"Alerta",IF(VLOOKUP(BH102,Fundamentus!A:U,20,FALSE)&gt;2,"Alta","n/a"))))</f>
        <v>Alta</v>
      </c>
      <c r="FA102" s="10"/>
    </row>
    <row r="103" spans="1:157" s="2" customFormat="1" ht="11.25" hidden="1" x14ac:dyDescent="0.2">
      <c r="A103" s="4">
        <v>12.75</v>
      </c>
      <c r="B103" s="4">
        <v>12.73</v>
      </c>
      <c r="C103" s="4">
        <v>12.69</v>
      </c>
      <c r="D103" s="4">
        <v>12.16</v>
      </c>
      <c r="E103" s="4">
        <v>12.02</v>
      </c>
      <c r="F103" s="4">
        <v>11.91</v>
      </c>
      <c r="G103" s="4">
        <v>11.59</v>
      </c>
      <c r="H103" s="4">
        <v>12.03</v>
      </c>
      <c r="I103" s="4">
        <v>11.58</v>
      </c>
      <c r="J103" s="4">
        <v>12.14</v>
      </c>
      <c r="K103" s="4">
        <v>12.99</v>
      </c>
      <c r="L103" s="4">
        <v>12.41</v>
      </c>
      <c r="M103" s="4">
        <v>12.48</v>
      </c>
      <c r="N103" s="4">
        <v>12.7</v>
      </c>
      <c r="O103" s="4">
        <v>13.23</v>
      </c>
      <c r="P103" s="4">
        <v>13.4</v>
      </c>
      <c r="Q103" s="4">
        <v>13.6</v>
      </c>
      <c r="R103" s="4">
        <v>13.25</v>
      </c>
      <c r="S103" s="4">
        <v>13.49</v>
      </c>
      <c r="T103" s="4">
        <v>13.13</v>
      </c>
      <c r="U103" s="4">
        <v>12.48</v>
      </c>
      <c r="V103" s="4">
        <v>12.39</v>
      </c>
      <c r="W103" s="4">
        <v>12.2</v>
      </c>
      <c r="X103" s="4">
        <v>12.11</v>
      </c>
      <c r="Y103" s="4">
        <v>12.07</v>
      </c>
      <c r="Z103" s="4">
        <v>12.06</v>
      </c>
      <c r="AA103" s="4">
        <v>11.85</v>
      </c>
      <c r="AB103" s="4">
        <v>11.69</v>
      </c>
      <c r="AC103" s="4">
        <v>11.91</v>
      </c>
      <c r="AD103" s="4">
        <v>12.05</v>
      </c>
      <c r="AE103" s="4">
        <v>11.03</v>
      </c>
      <c r="AF103" s="4">
        <v>10.7</v>
      </c>
      <c r="AG103" s="4">
        <v>10.63</v>
      </c>
      <c r="AH103" s="4">
        <v>10.16</v>
      </c>
      <c r="AI103" s="4">
        <v>10.23</v>
      </c>
      <c r="AJ103" s="4">
        <v>10.1</v>
      </c>
      <c r="AK103" s="4">
        <v>10.3</v>
      </c>
      <c r="AL103" s="4">
        <v>10.64</v>
      </c>
      <c r="AM103" s="4">
        <v>10.8</v>
      </c>
      <c r="AN103" s="4">
        <v>11.23</v>
      </c>
      <c r="AO103" s="4">
        <v>10.92</v>
      </c>
      <c r="AP103" s="4">
        <v>11.96</v>
      </c>
      <c r="AQ103" s="4">
        <v>11.79</v>
      </c>
      <c r="AR103" s="4">
        <v>11.7</v>
      </c>
      <c r="AS103" s="4">
        <v>11.81</v>
      </c>
      <c r="AT103" s="4">
        <v>11.69</v>
      </c>
      <c r="AU103" s="4">
        <v>11.85</v>
      </c>
      <c r="AV103" s="4">
        <v>11.9</v>
      </c>
      <c r="AW103" s="4">
        <v>11.73</v>
      </c>
      <c r="AX103" s="4">
        <v>11.7</v>
      </c>
      <c r="AY103" s="12">
        <v>12.52</v>
      </c>
      <c r="AZ103" s="12">
        <v>13.2</v>
      </c>
      <c r="BA103" s="12">
        <v>13.45</v>
      </c>
      <c r="BB103" s="18">
        <v>13.4</v>
      </c>
      <c r="BC103" s="63">
        <v>13.24</v>
      </c>
      <c r="BD103" s="63">
        <v>13.47</v>
      </c>
      <c r="BE103" s="63">
        <v>13.48</v>
      </c>
      <c r="BF103" s="63">
        <v>13.35</v>
      </c>
      <c r="BG103" s="91" cm="1">
        <f t="array" aca="1" ref="BG103" ca="1">_FV(EE103,"Preço")</f>
        <v>13.37</v>
      </c>
      <c r="BH103" s="93" t="s">
        <v>101</v>
      </c>
      <c r="BI103" s="32" cm="1">
        <f t="array" aca="1" ref="BI103" ca="1">_FV(EE103,"Beta")</f>
        <v>1.0197000000000001</v>
      </c>
      <c r="BJ103" s="96" cm="1">
        <f t="array" aca="1" ref="BJ103" ca="1">_FV(EE103,"Variação (%)",TRUE)</f>
        <v>-2.2389999999999997E-3</v>
      </c>
      <c r="BK103" s="49"/>
      <c r="BL103" s="49"/>
      <c r="BN103" s="32"/>
      <c r="BO103" s="20" cm="1">
        <f t="array" aca="1" ref="BO103" ca="1">_FV(EE103,"Baixo")</f>
        <v>13.15</v>
      </c>
      <c r="BP103" s="20" cm="1">
        <f t="array" aca="1" ref="BP103" ca="1">_FV(EE103,"Alto")</f>
        <v>13.37</v>
      </c>
      <c r="BQ103" s="32"/>
      <c r="BR103" s="74" t="e">
        <f ca="1">SQRT(22.5*(BG103/VLOOKUP(BH103,Fundamentus!A:U,3,FALSE))*(BG103/VLOOKUP(BH103,Fundamentus!A:U,4,FALSE)))</f>
        <v>#N/A</v>
      </c>
      <c r="BT103" s="73">
        <f t="shared" ca="1" si="99"/>
        <v>1.4981273408239382E-3</v>
      </c>
      <c r="BU103" s="36">
        <f t="shared" si="100"/>
        <v>5.7254901960784345E-2</v>
      </c>
      <c r="BV103" s="8"/>
      <c r="BW103" s="72">
        <f t="shared" si="101"/>
        <v>10.1</v>
      </c>
      <c r="BX103" s="72">
        <f t="shared" si="102"/>
        <v>12.104655172413798</v>
      </c>
      <c r="BY103" s="72">
        <f t="shared" si="103"/>
        <v>13.6</v>
      </c>
      <c r="BZ103" s="17"/>
      <c r="CA103" s="17"/>
      <c r="CB103" s="43">
        <f t="shared" si="104"/>
        <v>13.277619008428635</v>
      </c>
      <c r="CC103" s="18">
        <f t="shared" si="105"/>
        <v>13.473833177132121</v>
      </c>
      <c r="CD103" s="43">
        <f t="shared" si="106"/>
        <v>13.670047345835608</v>
      </c>
      <c r="CE103" s="98">
        <f t="shared" ca="1" si="107"/>
        <v>-0.52918287103431449</v>
      </c>
      <c r="CF103" s="17"/>
      <c r="CG103" s="20">
        <f t="shared" si="108"/>
        <v>7.6</v>
      </c>
      <c r="CH103" s="20">
        <f t="shared" si="109"/>
        <v>8.85</v>
      </c>
      <c r="CI103" s="20">
        <f t="shared" si="110"/>
        <v>11.1</v>
      </c>
      <c r="CJ103" s="49">
        <f t="shared" si="111"/>
        <v>12.35</v>
      </c>
      <c r="CK103" s="20">
        <f t="shared" si="112"/>
        <v>14.6</v>
      </c>
      <c r="CL103" s="20">
        <f t="shared" si="113"/>
        <v>15.85</v>
      </c>
      <c r="CM103" s="20">
        <f t="shared" si="114"/>
        <v>18.100000000000001</v>
      </c>
      <c r="CN103" s="2" cm="1">
        <f t="array" aca="1" ref="CN103" ca="1">MAX(_xlfn._xlws.FILTER(CG103:CM103,CG103:CM103&lt;BG103))</f>
        <v>12.35</v>
      </c>
      <c r="CO103" s="2" cm="1">
        <f t="array" aca="1" ref="CO103" ca="1">MIN(_xlfn._xlws.FILTER($CG103:$CM103,$CG103:$CM103&gt;BG103))</f>
        <v>14.6</v>
      </c>
      <c r="CP103" s="19">
        <f t="shared" ca="1" si="124"/>
        <v>0.18218623481781382</v>
      </c>
      <c r="CQ103" s="23">
        <f t="shared" ca="1" si="125"/>
        <v>-9.109311740890691E-2</v>
      </c>
      <c r="CR103" s="23">
        <f t="shared" ca="1" si="126"/>
        <v>-6.0728744939271273E-2</v>
      </c>
      <c r="CS103" s="23">
        <f t="shared" ca="1" si="127"/>
        <v>-3.6437246963562764E-2</v>
      </c>
      <c r="CT103" s="23">
        <f t="shared" ca="1" si="128"/>
        <v>-2.0242914979757092E-2</v>
      </c>
      <c r="CU103" s="23">
        <f t="shared" ca="1" si="129"/>
        <v>-1.0716837342224343E-2</v>
      </c>
      <c r="CV103" s="23">
        <f t="shared" ca="1" si="130"/>
        <v>-5.5207949944792063E-3</v>
      </c>
      <c r="CW103" s="23">
        <f t="shared" ca="1" si="131"/>
        <v>-2.8028651510432897E-3</v>
      </c>
      <c r="CX103" s="24">
        <f t="shared" ca="1" si="132"/>
        <v>2.8028651510432897E-3</v>
      </c>
      <c r="CY103" s="24">
        <f t="shared" ca="1" si="133"/>
        <v>5.5207949944792063E-3</v>
      </c>
      <c r="CZ103" s="24">
        <f t="shared" ca="1" si="134"/>
        <v>1.0716837342224343E-2</v>
      </c>
      <c r="DA103" s="24">
        <f t="shared" ca="1" si="135"/>
        <v>2.0242914979757092E-2</v>
      </c>
      <c r="DB103" s="24">
        <f t="shared" ca="1" si="136"/>
        <v>3.6437246963562764E-2</v>
      </c>
      <c r="DC103" s="24">
        <f t="shared" ca="1" si="137"/>
        <v>6.0728744939271273E-2</v>
      </c>
      <c r="DD103" s="24">
        <f t="shared" ca="1" si="138"/>
        <v>9.109311740890691E-2</v>
      </c>
      <c r="DF103" s="19" cm="1">
        <f t="array" aca="1" ref="DF103" ca="1">MAX(_xlfn._xlws.FILTER(CQ103:DD103,CQ103:DD103&lt;BJ103))</f>
        <v>-2.8028651510432897E-3</v>
      </c>
      <c r="DG103" s="19" cm="1">
        <f t="array" aca="1" ref="DG103" ca="1">MIN(_xlfn._xlws.FILTER(CQ103:DD103,CQ103:DD103&gt;BJ103))</f>
        <v>2.8028651510432897E-3</v>
      </c>
      <c r="DH103" s="2" cm="1">
        <f t="array" aca="1" ref="DH103" ca="1">_FV(EE103,"Fechamento anterior",TRUE)</f>
        <v>13.4</v>
      </c>
      <c r="DI103" s="36">
        <f t="shared" ca="1" si="115"/>
        <v>0.10062189054725026</v>
      </c>
      <c r="DJ103" s="18">
        <f t="shared" ca="1" si="139"/>
        <v>13.36244160697602</v>
      </c>
      <c r="DK103" s="18">
        <f t="shared" ca="1" si="140"/>
        <v>13.437558393023981</v>
      </c>
      <c r="DL103" s="9"/>
      <c r="DM103" s="9"/>
      <c r="DN103" s="9"/>
      <c r="DO103" s="9"/>
      <c r="DP103" s="79">
        <v>8.8221845665563889E-3</v>
      </c>
      <c r="DQ103" s="79">
        <v>8.8221845665563889E-3</v>
      </c>
      <c r="DR103" s="79">
        <v>8.8221845665563889E-3</v>
      </c>
      <c r="DS103" s="79">
        <f t="shared" ca="1" si="116"/>
        <v>5.6057303020865795E-3</v>
      </c>
      <c r="DT103" s="47"/>
      <c r="DU103" s="43">
        <f t="shared" si="117"/>
        <v>9.8107084351743118E-2</v>
      </c>
      <c r="DV103" s="83">
        <f t="shared" ca="1" si="118"/>
        <v>1.4458</v>
      </c>
      <c r="DW103" s="83">
        <f t="shared" ca="1" si="119"/>
        <v>1.2436</v>
      </c>
      <c r="DX103" s="83">
        <f t="shared" ca="1" si="120"/>
        <v>0.20219999999999994</v>
      </c>
      <c r="DY103" s="67"/>
      <c r="DZ103" s="67"/>
      <c r="EA103" s="85"/>
      <c r="EB103" s="44">
        <v>4050100</v>
      </c>
      <c r="EC103" s="44" cm="1">
        <f t="array" aca="1" ref="EC103" ca="1">_FV(EE103,"Volume")</f>
        <v>4207300</v>
      </c>
      <c r="EE103" s="2" t="e" vm="103">
        <v>#VALUE!</v>
      </c>
      <c r="EG103" s="10" cm="1">
        <f t="array" aca="1" ref="EG103" ca="1">_FV(EE103,"Ações em circulação",TRUE)</f>
        <v>2020000000</v>
      </c>
      <c r="EH103" s="21" t="e">
        <f>VLOOKUP(BH103,Fundamentus!A:U,5,FALSE)</f>
        <v>#N/A</v>
      </c>
      <c r="EI103" s="2" t="e">
        <f t="shared" ca="1" si="121"/>
        <v>#N/A</v>
      </c>
      <c r="EJ103" s="20" t="e">
        <v>#N/A</v>
      </c>
      <c r="EK103" s="20" t="e">
        <f t="shared" ca="1" si="122"/>
        <v>#N/A</v>
      </c>
      <c r="EM103" s="40" t="e">
        <f>IF(VLOOKUP(BH103,Fundamentus!A:U,3,FALSE)&lt;15,"Bom",IF(VLOOKUP(BH103,Fundamentus!A:U,3,FALSE)&gt;15,"Ruim","n/a"))</f>
        <v>#N/A</v>
      </c>
      <c r="EN103" s="36" t="e">
        <f>IF(VLOOKUP(BH103,Fundamentus!A:U,4,FALSE)&lt;1,"Baixo",IF(VLOOKUP(BH103,Fundamentus!A:U,4,FALSE)&lt;1.5,"Moderado",IF(VLOOKUP(BH103,Fundamentus!A:U,4,FALSE)&gt;1.5,"Alto","n/a")))</f>
        <v>#N/A</v>
      </c>
      <c r="EO103" s="20" t="e">
        <f>IF(VLOOKUP(BH103,Fundamentus!A:U,8,FALSE)&lt;0,"Risco elevado",IF(VLOOKUP(BH103,Fundamentus!A:U,8,FALSE)&lt;1,"Saudável",IF(VLOOKUP(BH103,Fundamentus!A:U,8,FALSE)&lt;3,"Estável",IF(VLOOKUP(BH103,Fundamentus!A:U,8,FALSE)&gt;3,"Alerta","n/a"))))</f>
        <v>#N/A</v>
      </c>
      <c r="EP103" s="36" t="e">
        <f t="shared" si="123"/>
        <v>#N/A</v>
      </c>
      <c r="EQ103" s="20" t="e">
        <f>IF(VLOOKUP(BH103,Fundamentus!A:U,12,FALSE)&lt;2,"Subvalorizada",IF(VLOOKUP(BH103,Fundamentus!A:U,12,FALSE)&lt;6,"Muita barata",IF(VLOOKUP(BH103,Fundamentus!A:U,12,FALSE)&lt;6,"Barata",IF(VLOOKUP(BH103,Fundamentus!A:U,12,FALSE)&lt;8,"Atrativa",IF(VLOOKUP(BH103,Fundamentus!A:U,12,FALSE)&gt;8,"Supervalorizada","n/a")))))</f>
        <v>#N/A</v>
      </c>
      <c r="ES103" s="20" t="e">
        <f>IF(VLOOKUP(BH103,Fundamentus!A:U,17,FALSE)&lt;0.1,"Fraco retorno",IF(VLOOKUP(BH103,Fundamentus!A:U,17,FALSE)&gt;0.1,"Bom retorno","n/a"))</f>
        <v>#N/A</v>
      </c>
      <c r="ET103" s="20" t="e">
        <f>IF(VLOOKUP(BH103,Fundamentus!A:U,16,FALSE)&lt;0.1,"Ineficiente",IF(VLOOKUP(BH103,Fundamentus!A:U,16,FALSE)&gt;0.1,"Eficiente","n/a"))</f>
        <v>#N/A</v>
      </c>
      <c r="EU103" s="41" t="e">
        <f>IF(VLOOKUP(BH103,Fundamentus!A:U,16,FALSE)&lt;0.1,"Oper. Ineficiente",IF(VLOOKUP(BH103,Fundamentus!A:U,16,FALSE)&gt;0.1,"Oper.Eficiente","n/a"))</f>
        <v>#N/A</v>
      </c>
      <c r="EV103" s="42" t="e">
        <f>VLOOKUP(BH103,Fundamentus!A:U,14,FALSE)</f>
        <v>#N/A</v>
      </c>
      <c r="EW103" s="20" t="e">
        <f>IF(VLOOKUP(BH103,Fundamentus!A:U,21,FALSE)&lt;0,"Negativo",IF(VLOOKUP(BH103,Fundamentus!A:U,21,FALSE)&lt;0.05,"Fraco",IF(VLOOKUP(BH103,Fundamentus!A:U,21,FALSE)&lt;0.1,"Bom",IF(VLOOKUP(BH103,Fundamentus!A:U,21,FALSE)&gt;0.1,"Muito bom","n/a"))))</f>
        <v>#N/A</v>
      </c>
      <c r="EY103" s="37" t="e">
        <f>IF(VLOOKUP(BH103,Fundamentus!A:U,15,FALSE)&gt;1,"Bom",IF(VLOOKUP(BH103,Fundamentus!A:U,15,FALSE)&lt;1,"Ruim","n/a"))</f>
        <v>#N/A</v>
      </c>
      <c r="EZ103" s="20" t="e">
        <f>IF(VLOOKUP(BH103,Fundamentus!A:U,20,FALSE)&lt;0.5,"Baixa",IF(VLOOKUP(BH103,Fundamentus!A:U,20,FALSE)&lt;1,"Moderada",IF(VLOOKUP(BH103,Fundamentus!A:U,20,FALSE)&lt;2,"Alerta",IF(VLOOKUP(BH103,Fundamentus!A:U,20,FALSE)&gt;2,"Alta","n/a"))))</f>
        <v>#N/A</v>
      </c>
      <c r="FA103" s="10"/>
    </row>
    <row r="104" spans="1:157" s="2" customFormat="1" ht="11.25" hidden="1" x14ac:dyDescent="0.2">
      <c r="A104" s="4">
        <v>4.54</v>
      </c>
      <c r="B104" s="4">
        <v>4.33</v>
      </c>
      <c r="C104" s="4">
        <v>4.28</v>
      </c>
      <c r="D104" s="4">
        <v>3.87</v>
      </c>
      <c r="E104" s="4">
        <v>3.82</v>
      </c>
      <c r="F104" s="4">
        <v>3.73</v>
      </c>
      <c r="G104" s="4">
        <v>3.67</v>
      </c>
      <c r="H104" s="4">
        <v>3.56</v>
      </c>
      <c r="I104" s="4">
        <v>3.43</v>
      </c>
      <c r="J104" s="4">
        <v>3.82</v>
      </c>
      <c r="K104" s="4">
        <v>3.76</v>
      </c>
      <c r="L104" s="4">
        <v>3.61</v>
      </c>
      <c r="M104" s="4">
        <v>3.42</v>
      </c>
      <c r="N104" s="4">
        <v>3.55</v>
      </c>
      <c r="O104" s="4">
        <v>3.6</v>
      </c>
      <c r="P104" s="4">
        <v>3.4</v>
      </c>
      <c r="Q104" s="4">
        <v>3.44</v>
      </c>
      <c r="R104" s="4">
        <v>3.39</v>
      </c>
      <c r="S104" s="4">
        <v>3.37</v>
      </c>
      <c r="T104" s="4">
        <v>3.54</v>
      </c>
      <c r="U104" s="4">
        <v>3.42</v>
      </c>
      <c r="V104" s="4">
        <v>3.52</v>
      </c>
      <c r="W104" s="4">
        <v>3.64</v>
      </c>
      <c r="X104" s="4">
        <v>3.54</v>
      </c>
      <c r="Y104" s="4">
        <v>3.56</v>
      </c>
      <c r="Z104" s="4">
        <v>3.58</v>
      </c>
      <c r="AA104" s="4">
        <v>3.51</v>
      </c>
      <c r="AB104" s="4">
        <v>3.52</v>
      </c>
      <c r="AC104" s="4">
        <v>3.7</v>
      </c>
      <c r="AD104" s="4">
        <v>3.69</v>
      </c>
      <c r="AE104" s="4">
        <v>3.41</v>
      </c>
      <c r="AF104" s="4">
        <v>3.39</v>
      </c>
      <c r="AG104" s="4">
        <v>3.88</v>
      </c>
      <c r="AH104" s="4">
        <v>3.51</v>
      </c>
      <c r="AI104" s="4">
        <v>3.59</v>
      </c>
      <c r="AJ104" s="4">
        <v>3.48</v>
      </c>
      <c r="AK104" s="4">
        <v>3.53</v>
      </c>
      <c r="AL104" s="4">
        <v>3.68</v>
      </c>
      <c r="AM104" s="4">
        <v>3.66</v>
      </c>
      <c r="AN104" s="4">
        <v>3.86</v>
      </c>
      <c r="AO104" s="4">
        <v>3.81</v>
      </c>
      <c r="AP104" s="4">
        <v>3.87</v>
      </c>
      <c r="AQ104" s="4">
        <v>3.74</v>
      </c>
      <c r="AR104" s="4">
        <v>3.74</v>
      </c>
      <c r="AS104" s="4">
        <v>3.78</v>
      </c>
      <c r="AT104" s="4">
        <v>3.99</v>
      </c>
      <c r="AU104" s="4">
        <v>3.2749999999999999</v>
      </c>
      <c r="AV104" s="4">
        <v>3.26</v>
      </c>
      <c r="AW104" s="4">
        <v>3.23</v>
      </c>
      <c r="AX104" s="4">
        <v>3.27</v>
      </c>
      <c r="AY104" s="12">
        <v>3.23</v>
      </c>
      <c r="AZ104" s="12">
        <v>3.28</v>
      </c>
      <c r="BA104" s="12">
        <v>3.24</v>
      </c>
      <c r="BB104" s="18">
        <v>3.26</v>
      </c>
      <c r="BC104" s="63">
        <v>3.2</v>
      </c>
      <c r="BD104" s="63">
        <v>3.53</v>
      </c>
      <c r="BE104" s="63">
        <v>3.41</v>
      </c>
      <c r="BF104" s="63">
        <v>3.44</v>
      </c>
      <c r="BG104" s="91" cm="1">
        <f t="array" aca="1" ref="BG104" ca="1">_FV(EE104,"Preço")</f>
        <v>3.33</v>
      </c>
      <c r="BH104" s="93" t="s">
        <v>102</v>
      </c>
      <c r="BI104" s="32" cm="1">
        <f t="array" aca="1" ref="BI104" ca="1">_FV(EE104,"Beta")</f>
        <v>0.95530000000000004</v>
      </c>
      <c r="BJ104" s="96" cm="1">
        <f t="array" aca="1" ref="BJ104" ca="1">_FV(EE104,"Variação (%)",TRUE)</f>
        <v>9.0910000000000001E-3</v>
      </c>
      <c r="BK104" s="49"/>
      <c r="BL104" s="49"/>
      <c r="BN104" s="32"/>
      <c r="BO104" s="20" cm="1">
        <f t="array" aca="1" ref="BO104" ca="1">_FV(EE104,"Baixo")</f>
        <v>3.25</v>
      </c>
      <c r="BP104" s="20" cm="1">
        <f t="array" aca="1" ref="BP104" ca="1">_FV(EE104,"Alto")</f>
        <v>3.34</v>
      </c>
      <c r="BQ104" s="32"/>
      <c r="BR104" s="74">
        <f ca="1">SQRT(22.5*(BG104/VLOOKUP(BH104,Fundamentus!A:U,3,FALSE))*(BG104/VLOOKUP(BH104,Fundamentus!A:U,4,FALSE)))</f>
        <v>5.4590978998873272</v>
      </c>
      <c r="BT104" s="73">
        <f t="shared" ca="1" si="99"/>
        <v>-3.1976744186046478E-2</v>
      </c>
      <c r="BU104" s="36">
        <f t="shared" si="100"/>
        <v>-0.24889867841409688</v>
      </c>
      <c r="BV104" s="8"/>
      <c r="BW104" s="72">
        <f t="shared" si="101"/>
        <v>3.2</v>
      </c>
      <c r="BX104" s="72">
        <f t="shared" si="102"/>
        <v>3.5923275862068973</v>
      </c>
      <c r="BY104" s="72">
        <f t="shared" si="103"/>
        <v>4.54</v>
      </c>
      <c r="BZ104" s="17"/>
      <c r="CA104" s="17"/>
      <c r="CB104" s="43">
        <f t="shared" si="104"/>
        <v>3.3058454821714878</v>
      </c>
      <c r="CC104" s="18">
        <f t="shared" si="105"/>
        <v>3.547713214620444</v>
      </c>
      <c r="CD104" s="43">
        <f t="shared" si="106"/>
        <v>3.7895809470694002</v>
      </c>
      <c r="CE104" s="98">
        <f t="shared" ca="1" si="107"/>
        <v>-0.90013335973367237</v>
      </c>
      <c r="CF104" s="17"/>
      <c r="CG104" s="20">
        <f t="shared" si="108"/>
        <v>1.5733333333333333</v>
      </c>
      <c r="CH104" s="20">
        <f t="shared" si="109"/>
        <v>2.3866666666666667</v>
      </c>
      <c r="CI104" s="20">
        <f t="shared" si="110"/>
        <v>2.9133333333333331</v>
      </c>
      <c r="CJ104" s="49">
        <f t="shared" si="111"/>
        <v>3.7266666666666666</v>
      </c>
      <c r="CK104" s="20">
        <f t="shared" si="112"/>
        <v>4.253333333333333</v>
      </c>
      <c r="CL104" s="20">
        <f t="shared" si="113"/>
        <v>5.0666666666666664</v>
      </c>
      <c r="CM104" s="20">
        <f t="shared" si="114"/>
        <v>5.5933333333333328</v>
      </c>
      <c r="CN104" s="2" cm="1">
        <f t="array" aca="1" ref="CN104" ca="1">MAX(_xlfn._xlws.FILTER(CG104:CM104,CG104:CM104&lt;BG104))</f>
        <v>2.9133333333333331</v>
      </c>
      <c r="CO104" s="2" cm="1">
        <f t="array" aca="1" ref="CO104" ca="1">MIN(_xlfn._xlws.FILTER($CG104:$CM104,$CG104:$CM104&gt;BG104))</f>
        <v>3.7266666666666666</v>
      </c>
      <c r="CP104" s="19">
        <f t="shared" ca="1" si="124"/>
        <v>0.2791762013729977</v>
      </c>
      <c r="CQ104" s="23">
        <f t="shared" ca="1" si="125"/>
        <v>-0.13958810068649885</v>
      </c>
      <c r="CR104" s="23">
        <f t="shared" ca="1" si="126"/>
        <v>-9.3058733790999229E-2</v>
      </c>
      <c r="CS104" s="23">
        <f t="shared" ca="1" si="127"/>
        <v>-5.5835240274599539E-2</v>
      </c>
      <c r="CT104" s="23">
        <f t="shared" ca="1" si="128"/>
        <v>-3.1019577930333078E-2</v>
      </c>
      <c r="CU104" s="23">
        <f t="shared" ca="1" si="129"/>
        <v>-1.6422129492529275E-2</v>
      </c>
      <c r="CV104" s="23">
        <f t="shared" ca="1" si="130"/>
        <v>-8.4598848900908387E-3</v>
      </c>
      <c r="CW104" s="23">
        <f t="shared" ca="1" si="131"/>
        <v>-4.2950184826615031E-3</v>
      </c>
      <c r="CX104" s="24">
        <f t="shared" ca="1" si="132"/>
        <v>4.2950184826615031E-3</v>
      </c>
      <c r="CY104" s="24">
        <f t="shared" ca="1" si="133"/>
        <v>8.4598848900908387E-3</v>
      </c>
      <c r="CZ104" s="24">
        <f t="shared" ca="1" si="134"/>
        <v>1.6422129492529275E-2</v>
      </c>
      <c r="DA104" s="24">
        <f t="shared" ca="1" si="135"/>
        <v>3.1019577930333078E-2</v>
      </c>
      <c r="DB104" s="24">
        <f t="shared" ca="1" si="136"/>
        <v>5.5835240274599539E-2</v>
      </c>
      <c r="DC104" s="24">
        <f t="shared" ca="1" si="137"/>
        <v>9.3058733790999229E-2</v>
      </c>
      <c r="DD104" s="24">
        <f t="shared" ca="1" si="138"/>
        <v>0.13958810068649885</v>
      </c>
      <c r="DF104" s="19" cm="1">
        <f t="array" aca="1" ref="DF104" ca="1">MAX(_xlfn._xlws.FILTER(CQ104:DD104,CQ104:DD104&lt;BJ104))</f>
        <v>8.4598848900908387E-3</v>
      </c>
      <c r="DG104" s="19" cm="1">
        <f t="array" aca="1" ref="DG104" ca="1">MIN(_xlfn._xlws.FILTER(CQ104:DD104,CQ104:DD104&gt;BJ104))</f>
        <v>1.6422129492529275E-2</v>
      </c>
      <c r="DH104" s="2" cm="1">
        <f t="array" aca="1" ref="DH104" ca="1">_FV(EE104,"Fechamento anterior",TRUE)</f>
        <v>3.3</v>
      </c>
      <c r="DI104" s="36">
        <f t="shared" ca="1" si="115"/>
        <v>7.925204918033979E-2</v>
      </c>
      <c r="DJ104" s="18">
        <f t="shared" ca="1" si="139"/>
        <v>3.3279176201372995</v>
      </c>
      <c r="DK104" s="18">
        <f t="shared" ca="1" si="140"/>
        <v>3.3541930273253464</v>
      </c>
      <c r="DL104" s="9"/>
      <c r="DM104" s="9"/>
      <c r="DN104" s="9"/>
      <c r="DO104" s="9"/>
      <c r="DP104" s="79">
        <v>2.8840462738767829E-2</v>
      </c>
      <c r="DQ104" s="79">
        <v>9.9832371018811709E-3</v>
      </c>
      <c r="DR104" s="79">
        <v>9.2536244081608005E-3</v>
      </c>
      <c r="DS104" s="79">
        <f t="shared" ca="1" si="116"/>
        <v>7.9622446024384362E-3</v>
      </c>
      <c r="DT104" s="47"/>
      <c r="DU104" s="43">
        <f t="shared" si="117"/>
        <v>0.12093386622447812</v>
      </c>
      <c r="DV104" s="83">
        <f t="shared" ca="1" si="118"/>
        <v>1.3814</v>
      </c>
      <c r="DW104" s="83">
        <f t="shared" ca="1" si="119"/>
        <v>4.6200000000000019E-2</v>
      </c>
      <c r="DX104" s="83">
        <f t="shared" ca="1" si="120"/>
        <v>1.3351999999999999</v>
      </c>
      <c r="DY104" s="67"/>
      <c r="DZ104" s="67"/>
      <c r="EA104" s="85"/>
      <c r="EB104" s="44">
        <v>170800</v>
      </c>
      <c r="EC104" s="44" cm="1">
        <f t="array" aca="1" ref="EC104" ca="1">_FV(EE104,"Volume")</f>
        <v>186300</v>
      </c>
      <c r="EE104" s="2" t="e" vm="104">
        <v>#VALUE!</v>
      </c>
      <c r="EG104" s="10" cm="1">
        <f t="array" aca="1" ref="EG104" ca="1">_FV(EE104,"Ações em circulação",TRUE)</f>
        <v>206269300</v>
      </c>
      <c r="EH104" s="21">
        <f>VLOOKUP(BH104,Fundamentus!A:U,5,FALSE)</f>
        <v>0.69499999999999995</v>
      </c>
      <c r="EI104" s="2">
        <f t="shared" ca="1" si="121"/>
        <v>988311897.84172666</v>
      </c>
      <c r="EJ104" s="20">
        <v>117001882.76719424</v>
      </c>
      <c r="EK104" s="20">
        <f t="shared" ca="1" si="122"/>
        <v>113260543.49266186</v>
      </c>
      <c r="EM104" s="40" t="str">
        <f>IF(VLOOKUP(BH104,Fundamentus!A:U,3,FALSE)&lt;15,"Bom",IF(VLOOKUP(BH104,Fundamentus!A:U,3,FALSE)&gt;15,"Ruim","n/a"))</f>
        <v>Bom</v>
      </c>
      <c r="EN104" s="36" t="str">
        <f>IF(VLOOKUP(BH104,Fundamentus!A:U,4,FALSE)&lt;1,"Baixo",IF(VLOOKUP(BH104,Fundamentus!A:U,4,FALSE)&lt;1.5,"Moderado",IF(VLOOKUP(BH104,Fundamentus!A:U,4,FALSE)&gt;1.5,"Alto","n/a")))</f>
        <v>Baixo</v>
      </c>
      <c r="EO104" s="20" t="str">
        <f>IF(VLOOKUP(BH104,Fundamentus!A:U,8,FALSE)&lt;0,"Risco elevado",IF(VLOOKUP(BH104,Fundamentus!A:U,8,FALSE)&lt;1,"Saudável",IF(VLOOKUP(BH104,Fundamentus!A:U,8,FALSE)&lt;3,"Estável",IF(VLOOKUP(BH104,Fundamentus!A:U,8,FALSE)&gt;3,"Alerta","n/a"))))</f>
        <v>Saudável</v>
      </c>
      <c r="EP104" s="36" t="str">
        <f t="shared" si="123"/>
        <v>Ruim</v>
      </c>
      <c r="EQ104" s="20" t="str">
        <f>IF(VLOOKUP(BH104,Fundamentus!A:U,12,FALSE)&lt;2,"Subvalorizada",IF(VLOOKUP(BH104,Fundamentus!A:U,12,FALSE)&lt;6,"Muita barata",IF(VLOOKUP(BH104,Fundamentus!A:U,12,FALSE)&lt;6,"Barata",IF(VLOOKUP(BH104,Fundamentus!A:U,12,FALSE)&lt;8,"Atrativa",IF(VLOOKUP(BH104,Fundamentus!A:U,12,FALSE)&gt;8,"Supervalorizada","n/a")))))</f>
        <v>Supervalorizada</v>
      </c>
      <c r="ES104" s="20" t="str">
        <f>IF(VLOOKUP(BH104,Fundamentus!A:U,17,FALSE)&lt;0.1,"Fraco retorno",IF(VLOOKUP(BH104,Fundamentus!A:U,17,FALSE)&gt;0.1,"Bom retorno","n/a"))</f>
        <v>Fraco retorno</v>
      </c>
      <c r="ET104" s="20" t="str">
        <f>IF(VLOOKUP(BH104,Fundamentus!A:U,16,FALSE)&lt;0.1,"Ineficiente",IF(VLOOKUP(BH104,Fundamentus!A:U,16,FALSE)&gt;0.1,"Eficiente","n/a"))</f>
        <v>Ineficiente</v>
      </c>
      <c r="EU104" s="41" t="str">
        <f>IF(VLOOKUP(BH104,Fundamentus!A:U,16,FALSE)&lt;0.1,"Oper. Ineficiente",IF(VLOOKUP(BH104,Fundamentus!A:U,16,FALSE)&gt;0.1,"Oper.Eficiente","n/a"))</f>
        <v>Oper. Ineficiente</v>
      </c>
      <c r="EV104" s="42">
        <f>VLOOKUP(BH104,Fundamentus!A:U,14,FALSE)</f>
        <v>0.11459999999999999</v>
      </c>
      <c r="EW104" s="20" t="str">
        <f>IF(VLOOKUP(BH104,Fundamentus!A:U,21,FALSE)&lt;0,"Negativo",IF(VLOOKUP(BH104,Fundamentus!A:U,21,FALSE)&lt;0.05,"Fraco",IF(VLOOKUP(BH104,Fundamentus!A:U,21,FALSE)&lt;0.1,"Bom",IF(VLOOKUP(BH104,Fundamentus!A:U,21,FALSE)&gt;0.1,"Muito bom","n/a"))))</f>
        <v>Muito bom</v>
      </c>
      <c r="EY104" s="37" t="str">
        <f>IF(VLOOKUP(BH104,Fundamentus!A:U,15,FALSE)&gt;1,"Bom",IF(VLOOKUP(BH104,Fundamentus!A:U,15,FALSE)&lt;1,"Ruim","n/a"))</f>
        <v>Bom</v>
      </c>
      <c r="EZ104" s="20" t="str">
        <f>IF(VLOOKUP(BH104,Fundamentus!A:U,20,FALSE)&lt;0.5,"Baixa",IF(VLOOKUP(BH104,Fundamentus!A:U,20,FALSE)&lt;1,"Moderada",IF(VLOOKUP(BH104,Fundamentus!A:U,20,FALSE)&lt;2,"Alerta",IF(VLOOKUP(BH104,Fundamentus!A:U,20,FALSE)&gt;2,"Alta","n/a"))))</f>
        <v>Baixa</v>
      </c>
      <c r="FA104" s="10"/>
    </row>
    <row r="105" spans="1:157" s="2" customFormat="1" ht="11.25" hidden="1" x14ac:dyDescent="0.2">
      <c r="A105" s="4">
        <v>33.08</v>
      </c>
      <c r="B105" s="4">
        <v>32.67</v>
      </c>
      <c r="C105" s="4">
        <v>34.21</v>
      </c>
      <c r="D105" s="4">
        <v>34.950000000000003</v>
      </c>
      <c r="E105" s="4">
        <v>33.97</v>
      </c>
      <c r="F105" s="4">
        <v>33.340000000000003</v>
      </c>
      <c r="G105" s="4">
        <v>32.729999999999997</v>
      </c>
      <c r="H105" s="4">
        <v>32.630000000000003</v>
      </c>
      <c r="I105" s="4">
        <v>32.89</v>
      </c>
      <c r="J105" s="4">
        <v>33.08</v>
      </c>
      <c r="K105" s="4">
        <v>33.79</v>
      </c>
      <c r="L105" s="4">
        <v>32.880000000000003</v>
      </c>
      <c r="M105" s="4">
        <v>32.799999999999997</v>
      </c>
      <c r="N105" s="4">
        <v>33.18</v>
      </c>
      <c r="O105" s="4">
        <v>33.1</v>
      </c>
      <c r="P105" s="4">
        <v>33.44</v>
      </c>
      <c r="Q105" s="4">
        <v>33.770000000000003</v>
      </c>
      <c r="R105" s="4">
        <v>34.090000000000003</v>
      </c>
      <c r="S105" s="4">
        <v>34.65</v>
      </c>
      <c r="T105" s="4">
        <v>34</v>
      </c>
      <c r="U105" s="4">
        <v>33.380000000000003</v>
      </c>
      <c r="V105" s="4">
        <v>33.76</v>
      </c>
      <c r="W105" s="4">
        <v>34.01</v>
      </c>
      <c r="X105" s="4">
        <v>32.520000000000003</v>
      </c>
      <c r="Y105" s="4">
        <v>32.520000000000003</v>
      </c>
      <c r="Z105" s="4">
        <v>32.71</v>
      </c>
      <c r="AA105" s="4">
        <v>32.42</v>
      </c>
      <c r="AB105" s="4">
        <v>32.24</v>
      </c>
      <c r="AC105" s="4">
        <v>32.36</v>
      </c>
      <c r="AD105" s="4">
        <v>32.979999999999997</v>
      </c>
      <c r="AE105" s="4">
        <v>32.619999999999997</v>
      </c>
      <c r="AF105" s="4">
        <v>32.03</v>
      </c>
      <c r="AG105" s="4">
        <v>32</v>
      </c>
      <c r="AH105" s="4">
        <v>31.3</v>
      </c>
      <c r="AI105" s="4">
        <v>31.55</v>
      </c>
      <c r="AJ105" s="4">
        <v>31</v>
      </c>
      <c r="AK105" s="4">
        <v>31.64</v>
      </c>
      <c r="AL105" s="4">
        <v>33.24</v>
      </c>
      <c r="AM105" s="4">
        <v>32.96</v>
      </c>
      <c r="AN105" s="4">
        <v>34.380000000000003</v>
      </c>
      <c r="AO105" s="4">
        <v>34.04</v>
      </c>
      <c r="AP105" s="4">
        <v>34.4</v>
      </c>
      <c r="AQ105" s="4">
        <v>35.03</v>
      </c>
      <c r="AR105" s="4">
        <v>35.08</v>
      </c>
      <c r="AS105" s="4">
        <v>37.700000000000003</v>
      </c>
      <c r="AT105" s="4">
        <v>37.44</v>
      </c>
      <c r="AU105" s="4">
        <v>37.775000000000013</v>
      </c>
      <c r="AV105" s="4">
        <v>37.82</v>
      </c>
      <c r="AW105" s="4">
        <v>37.9</v>
      </c>
      <c r="AX105" s="4">
        <v>37.71</v>
      </c>
      <c r="AY105" s="12">
        <v>38.25</v>
      </c>
      <c r="AZ105" s="12">
        <v>39.04</v>
      </c>
      <c r="BA105" s="12">
        <v>38.19</v>
      </c>
      <c r="BB105" s="18">
        <v>38.6</v>
      </c>
      <c r="BC105" s="63">
        <v>39.799999999999997</v>
      </c>
      <c r="BD105" s="63">
        <v>40.590000000000003</v>
      </c>
      <c r="BE105" s="63">
        <v>40.49</v>
      </c>
      <c r="BF105" s="63">
        <v>40.520000000000003</v>
      </c>
      <c r="BG105" s="91" cm="1">
        <f t="array" aca="1" ref="BG105" ca="1">_FV(EE105,"Preço")</f>
        <v>40.5</v>
      </c>
      <c r="BH105" s="93" t="s">
        <v>103</v>
      </c>
      <c r="BI105" s="32" cm="1">
        <f t="array" aca="1" ref="BI105" ca="1">_FV(EE105,"Beta")</f>
        <v>0.66720000000000002</v>
      </c>
      <c r="BJ105" s="96" cm="1">
        <f t="array" aca="1" ref="BJ105" ca="1">_FV(EE105,"Variação (%)",TRUE)</f>
        <v>2.9720000000000002E-3</v>
      </c>
      <c r="BK105" s="49"/>
      <c r="BL105" s="49"/>
      <c r="BN105" s="32"/>
      <c r="BO105" s="20" cm="1">
        <f t="array" aca="1" ref="BO105" ca="1">_FV(EE105,"Baixo")</f>
        <v>40.17</v>
      </c>
      <c r="BP105" s="20" cm="1">
        <f t="array" aca="1" ref="BP105" ca="1">_FV(EE105,"Alto")</f>
        <v>40.72</v>
      </c>
      <c r="BQ105" s="32"/>
      <c r="BR105" s="74">
        <f ca="1">SQRT(22.5*(BG105/VLOOKUP(BH105,Fundamentus!A:U,3,FALSE))*(BG105/VLOOKUP(BH105,Fundamentus!A:U,4,FALSE)))</f>
        <v>44.815950148971538</v>
      </c>
      <c r="BT105" s="73">
        <f t="shared" ca="1" si="99"/>
        <v>-4.9358341559731309E-4</v>
      </c>
      <c r="BU105" s="36">
        <f t="shared" si="100"/>
        <v>0.22400241837968574</v>
      </c>
      <c r="BV105" s="8"/>
      <c r="BW105" s="72">
        <f t="shared" si="101"/>
        <v>31</v>
      </c>
      <c r="BX105" s="72">
        <f t="shared" si="102"/>
        <v>34.50422413793104</v>
      </c>
      <c r="BY105" s="72">
        <f t="shared" si="103"/>
        <v>40.590000000000003</v>
      </c>
      <c r="BZ105" s="17"/>
      <c r="CA105" s="17"/>
      <c r="CB105" s="43">
        <f t="shared" si="104"/>
        <v>40.227145363783649</v>
      </c>
      <c r="CC105" s="18">
        <f t="shared" si="105"/>
        <v>40.866363636363531</v>
      </c>
      <c r="CD105" s="43">
        <f t="shared" si="106"/>
        <v>41.505581908943412</v>
      </c>
      <c r="CE105" s="98">
        <f t="shared" ca="1" si="107"/>
        <v>-0.57314324711790332</v>
      </c>
      <c r="CF105" s="17"/>
      <c r="CG105" s="20">
        <f t="shared" si="108"/>
        <v>24.560000000000002</v>
      </c>
      <c r="CH105" s="20">
        <f t="shared" si="109"/>
        <v>27.78</v>
      </c>
      <c r="CI105" s="20">
        <f t="shared" si="110"/>
        <v>34.150000000000006</v>
      </c>
      <c r="CJ105" s="49">
        <f t="shared" si="111"/>
        <v>37.370000000000005</v>
      </c>
      <c r="CK105" s="20">
        <f t="shared" si="112"/>
        <v>43.740000000000009</v>
      </c>
      <c r="CL105" s="20">
        <f t="shared" si="113"/>
        <v>46.960000000000008</v>
      </c>
      <c r="CM105" s="20">
        <f t="shared" si="114"/>
        <v>53.330000000000013</v>
      </c>
      <c r="CN105" s="2" cm="1">
        <f t="array" aca="1" ref="CN105" ca="1">MAX(_xlfn._xlws.FILTER(CG105:CM105,CG105:CM105&lt;BG105))</f>
        <v>37.370000000000005</v>
      </c>
      <c r="CO105" s="2" cm="1">
        <f t="array" aca="1" ref="CO105" ca="1">MIN(_xlfn._xlws.FILTER($CG105:$CM105,$CG105:$CM105&gt;BG105))</f>
        <v>43.740000000000009</v>
      </c>
      <c r="CP105" s="19">
        <f t="shared" ca="1" si="124"/>
        <v>0.17045758629917063</v>
      </c>
      <c r="CQ105" s="23">
        <f t="shared" ca="1" si="125"/>
        <v>-8.5228793149585313E-2</v>
      </c>
      <c r="CR105" s="23">
        <f t="shared" ca="1" si="126"/>
        <v>-5.6819195433056878E-2</v>
      </c>
      <c r="CS105" s="23">
        <f t="shared" ca="1" si="127"/>
        <v>-3.4091517259834128E-2</v>
      </c>
      <c r="CT105" s="23">
        <f t="shared" ca="1" si="128"/>
        <v>-1.8939731811018958E-2</v>
      </c>
      <c r="CU105" s="23">
        <f t="shared" ca="1" si="129"/>
        <v>-1.0026916841127683E-2</v>
      </c>
      <c r="CV105" s="23">
        <f t="shared" ca="1" si="130"/>
        <v>-5.1653814030051702E-3</v>
      </c>
      <c r="CW105" s="23">
        <f t="shared" ca="1" si="131"/>
        <v>-2.6224244046026252E-3</v>
      </c>
      <c r="CX105" s="24">
        <f t="shared" ca="1" si="132"/>
        <v>2.6224244046026252E-3</v>
      </c>
      <c r="CY105" s="24">
        <f t="shared" ca="1" si="133"/>
        <v>5.1653814030051702E-3</v>
      </c>
      <c r="CZ105" s="24">
        <f t="shared" ca="1" si="134"/>
        <v>1.0026916841127683E-2</v>
      </c>
      <c r="DA105" s="24">
        <f t="shared" ca="1" si="135"/>
        <v>1.8939731811018958E-2</v>
      </c>
      <c r="DB105" s="24">
        <f t="shared" ca="1" si="136"/>
        <v>3.4091517259834128E-2</v>
      </c>
      <c r="DC105" s="24">
        <f t="shared" ca="1" si="137"/>
        <v>5.6819195433056878E-2</v>
      </c>
      <c r="DD105" s="24">
        <f t="shared" ca="1" si="138"/>
        <v>8.5228793149585313E-2</v>
      </c>
      <c r="DF105" s="19" cm="1">
        <f t="array" aca="1" ref="DF105" ca="1">MAX(_xlfn._xlws.FILTER(CQ105:DD105,CQ105:DD105&lt;BJ105))</f>
        <v>2.6224244046026252E-3</v>
      </c>
      <c r="DG105" s="19" cm="1">
        <f t="array" aca="1" ref="DG105" ca="1">MIN(_xlfn._xlws.FILTER(CQ105:DD105,CQ105:DD105&gt;BJ105))</f>
        <v>5.1653814030051702E-3</v>
      </c>
      <c r="DH105" s="2" cm="1">
        <f t="array" aca="1" ref="DH105" ca="1">_FV(EE105,"Fechamento anterior",TRUE)</f>
        <v>40.380000000000003</v>
      </c>
      <c r="DI105" s="36">
        <f t="shared" ca="1" si="115"/>
        <v>0.13737699760434688</v>
      </c>
      <c r="DJ105" s="18">
        <f t="shared" ca="1" si="139"/>
        <v>40.485893497457859</v>
      </c>
      <c r="DK105" s="18">
        <f t="shared" ca="1" si="140"/>
        <v>40.588578101053351</v>
      </c>
      <c r="DL105" s="9"/>
      <c r="DM105" s="9"/>
      <c r="DN105" s="9"/>
      <c r="DO105" s="9"/>
      <c r="DP105" s="79">
        <v>2.2539793191588241E-2</v>
      </c>
      <c r="DQ105" s="79">
        <v>1.306515385937769E-2</v>
      </c>
      <c r="DR105" s="79">
        <v>4.5225532590153538E-3</v>
      </c>
      <c r="DS105" s="79">
        <f t="shared" ca="1" si="116"/>
        <v>2.542956998402545E-3</v>
      </c>
      <c r="DT105" s="47"/>
      <c r="DU105" s="43">
        <f t="shared" si="117"/>
        <v>0.31960913628994025</v>
      </c>
      <c r="DV105" s="83">
        <f t="shared" ca="1" si="118"/>
        <v>1.0932999999999999</v>
      </c>
      <c r="DW105" s="83">
        <f t="shared" ca="1" si="119"/>
        <v>0.37</v>
      </c>
      <c r="DX105" s="83">
        <f t="shared" ca="1" si="120"/>
        <v>0.72329999999999994</v>
      </c>
      <c r="DY105" s="67"/>
      <c r="DZ105" s="67"/>
      <c r="EA105" s="85"/>
      <c r="EB105" s="44">
        <v>669600</v>
      </c>
      <c r="EC105" s="44" cm="1">
        <f t="array" aca="1" ref="EC105" ca="1">_FV(EE105,"Volume")</f>
        <v>867800</v>
      </c>
      <c r="EE105" s="2" t="e" vm="105">
        <v>#VALUE!</v>
      </c>
      <c r="EG105" s="10" cm="1">
        <f t="array" aca="1" ref="EG105" ca="1">_FV(EE105,"Ações em circulação",TRUE)</f>
        <v>1152254000</v>
      </c>
      <c r="EH105" s="21">
        <f>VLOOKUP(BH105,Fundamentus!A:U,5,FALSE)</f>
        <v>1.083</v>
      </c>
      <c r="EI105" s="2">
        <f t="shared" ca="1" si="121"/>
        <v>43089831024.930748</v>
      </c>
      <c r="EJ105" s="20">
        <v>5621688737.9796858</v>
      </c>
      <c r="EK105" s="20">
        <f t="shared" ca="1" si="122"/>
        <v>5618913965.6509686</v>
      </c>
      <c r="EM105" s="40" t="str">
        <f>IF(VLOOKUP(BH105,Fundamentus!A:U,3,FALSE)&lt;15,"Bom",IF(VLOOKUP(BH105,Fundamentus!A:U,3,FALSE)&gt;15,"Ruim","n/a"))</f>
        <v>Bom</v>
      </c>
      <c r="EN105" s="36" t="str">
        <f>IF(VLOOKUP(BH105,Fundamentus!A:U,4,FALSE)&lt;1,"Baixo",IF(VLOOKUP(BH105,Fundamentus!A:U,4,FALSE)&lt;1.5,"Moderado",IF(VLOOKUP(BH105,Fundamentus!A:U,4,FALSE)&gt;1.5,"Alto","n/a")))</f>
        <v>Alto</v>
      </c>
      <c r="EO105" s="20" t="str">
        <f>IF(VLOOKUP(BH105,Fundamentus!A:U,8,FALSE)&lt;0,"Risco elevado",IF(VLOOKUP(BH105,Fundamentus!A:U,8,FALSE)&lt;1,"Saudável",IF(VLOOKUP(BH105,Fundamentus!A:U,8,FALSE)&lt;3,"Estável",IF(VLOOKUP(BH105,Fundamentus!A:U,8,FALSE)&gt;3,"Alerta","n/a"))))</f>
        <v>Risco elevado</v>
      </c>
      <c r="EP105" s="36" t="str">
        <f t="shared" si="123"/>
        <v>Bom</v>
      </c>
      <c r="EQ105" s="20" t="str">
        <f>IF(VLOOKUP(BH105,Fundamentus!A:U,12,FALSE)&lt;2,"Subvalorizada",IF(VLOOKUP(BH105,Fundamentus!A:U,12,FALSE)&lt;6,"Muita barata",IF(VLOOKUP(BH105,Fundamentus!A:U,12,FALSE)&lt;6,"Barata",IF(VLOOKUP(BH105,Fundamentus!A:U,12,FALSE)&lt;8,"Atrativa",IF(VLOOKUP(BH105,Fundamentus!A:U,12,FALSE)&gt;8,"Supervalorizada","n/a")))))</f>
        <v>Muita barata</v>
      </c>
      <c r="ES105" s="20" t="str">
        <f>IF(VLOOKUP(BH105,Fundamentus!A:U,17,FALSE)&lt;0.1,"Fraco retorno",IF(VLOOKUP(BH105,Fundamentus!A:U,17,FALSE)&gt;0.1,"Bom retorno","n/a"))</f>
        <v>Bom retorno</v>
      </c>
      <c r="ET105" s="20" t="str">
        <f>IF(VLOOKUP(BH105,Fundamentus!A:U,16,FALSE)&lt;0.1,"Ineficiente",IF(VLOOKUP(BH105,Fundamentus!A:U,16,FALSE)&gt;0.1,"Eficiente","n/a"))</f>
        <v>Eficiente</v>
      </c>
      <c r="EU105" s="41" t="str">
        <f>IF(VLOOKUP(BH105,Fundamentus!A:U,16,FALSE)&lt;0.1,"Oper. Ineficiente",IF(VLOOKUP(BH105,Fundamentus!A:U,16,FALSE)&gt;0.1,"Oper.Eficiente","n/a"))</f>
        <v>Oper.Eficiente</v>
      </c>
      <c r="EV105" s="42">
        <f>VLOOKUP(BH105,Fundamentus!A:U,14,FALSE)</f>
        <v>0.13039999999999999</v>
      </c>
      <c r="EW105" s="20" t="str">
        <f>IF(VLOOKUP(BH105,Fundamentus!A:U,21,FALSE)&lt;0,"Negativo",IF(VLOOKUP(BH105,Fundamentus!A:U,21,FALSE)&lt;0.05,"Fraco",IF(VLOOKUP(BH105,Fundamentus!A:U,21,FALSE)&lt;0.1,"Bom",IF(VLOOKUP(BH105,Fundamentus!A:U,21,FALSE)&gt;0.1,"Muito bom","n/a"))))</f>
        <v>Bom</v>
      </c>
      <c r="EY105" s="37" t="str">
        <f>IF(VLOOKUP(BH105,Fundamentus!A:U,15,FALSE)&gt;1,"Bom",IF(VLOOKUP(BH105,Fundamentus!A:U,15,FALSE)&lt;1,"Ruim","n/a"))</f>
        <v>Ruim</v>
      </c>
      <c r="EZ105" s="20" t="str">
        <f>IF(VLOOKUP(BH105,Fundamentus!A:U,20,FALSE)&lt;0.5,"Baixa",IF(VLOOKUP(BH105,Fundamentus!A:U,20,FALSE)&lt;1,"Moderada",IF(VLOOKUP(BH105,Fundamentus!A:U,20,FALSE)&lt;2,"Alerta",IF(VLOOKUP(BH105,Fundamentus!A:U,20,FALSE)&gt;2,"Alta","n/a"))))</f>
        <v>Alerta</v>
      </c>
      <c r="FA105" s="10"/>
    </row>
    <row r="106" spans="1:157" s="2" customFormat="1" ht="11.25" hidden="1" x14ac:dyDescent="0.2">
      <c r="A106" s="4">
        <v>80.8</v>
      </c>
      <c r="B106" s="4">
        <v>79.239999999999995</v>
      </c>
      <c r="C106" s="4">
        <v>78.56</v>
      </c>
      <c r="D106" s="4">
        <v>75.209999999999994</v>
      </c>
      <c r="E106" s="4">
        <v>73.86</v>
      </c>
      <c r="F106" s="4">
        <v>74.25</v>
      </c>
      <c r="G106" s="4">
        <v>75</v>
      </c>
      <c r="H106" s="4">
        <v>74.849999999999994</v>
      </c>
      <c r="I106" s="4">
        <v>74</v>
      </c>
      <c r="J106" s="4">
        <v>82.08</v>
      </c>
      <c r="K106" s="4">
        <v>83.15</v>
      </c>
      <c r="L106" s="4">
        <v>84.9</v>
      </c>
      <c r="M106" s="4">
        <v>86.8</v>
      </c>
      <c r="N106" s="4">
        <v>89.31</v>
      </c>
      <c r="O106" s="4">
        <v>97.33</v>
      </c>
      <c r="P106" s="4">
        <v>98.7</v>
      </c>
      <c r="Q106" s="4">
        <v>96.8</v>
      </c>
      <c r="R106" s="4">
        <v>94.73</v>
      </c>
      <c r="S106" s="4">
        <v>94.75</v>
      </c>
      <c r="T106" s="4">
        <v>94.53</v>
      </c>
      <c r="U106" s="4">
        <v>94.66</v>
      </c>
      <c r="V106" s="4">
        <v>90.08</v>
      </c>
      <c r="W106" s="4">
        <v>88.12</v>
      </c>
      <c r="X106" s="4">
        <v>88.1</v>
      </c>
      <c r="Y106" s="4">
        <v>90.98</v>
      </c>
      <c r="Z106" s="4">
        <v>91.3</v>
      </c>
      <c r="AA106" s="4">
        <v>89.39</v>
      </c>
      <c r="AB106" s="4">
        <v>89</v>
      </c>
      <c r="AC106" s="4">
        <v>96.31</v>
      </c>
      <c r="AD106" s="4">
        <v>98.03</v>
      </c>
      <c r="AE106" s="4">
        <v>92.98</v>
      </c>
      <c r="AF106" s="4">
        <v>91.06</v>
      </c>
      <c r="AG106" s="4">
        <v>89.41</v>
      </c>
      <c r="AH106" s="4">
        <v>88.4</v>
      </c>
      <c r="AI106" s="4">
        <v>88.29</v>
      </c>
      <c r="AJ106" s="4">
        <v>86.91</v>
      </c>
      <c r="AK106" s="4">
        <v>87.59</v>
      </c>
      <c r="AL106" s="4">
        <v>93</v>
      </c>
      <c r="AM106" s="4">
        <v>92.8</v>
      </c>
      <c r="AN106" s="4">
        <v>94.57</v>
      </c>
      <c r="AO106" s="4">
        <v>96.51</v>
      </c>
      <c r="AP106" s="4">
        <v>101.6</v>
      </c>
      <c r="AQ106" s="4">
        <v>98.55</v>
      </c>
      <c r="AR106" s="4">
        <v>94.98</v>
      </c>
      <c r="AS106" s="4">
        <v>96.19</v>
      </c>
      <c r="AT106" s="4">
        <v>99.3</v>
      </c>
      <c r="AU106" s="4">
        <v>101.175</v>
      </c>
      <c r="AV106" s="4">
        <v>102.98</v>
      </c>
      <c r="AW106" s="4">
        <v>103.4</v>
      </c>
      <c r="AX106" s="4">
        <v>107.02</v>
      </c>
      <c r="AY106" s="12">
        <v>109.01</v>
      </c>
      <c r="AZ106" s="12">
        <v>115.38</v>
      </c>
      <c r="BA106" s="12">
        <v>113.89</v>
      </c>
      <c r="BB106" s="18">
        <v>116.21</v>
      </c>
      <c r="BC106" s="63">
        <v>116</v>
      </c>
      <c r="BD106" s="63">
        <v>117.06</v>
      </c>
      <c r="BE106" s="63">
        <v>117.38</v>
      </c>
      <c r="BF106" s="63">
        <v>114.96</v>
      </c>
      <c r="BG106" s="91" cm="1">
        <f t="array" aca="1" ref="BG106" ca="1">_FV(EE106,"Preço")</f>
        <v>115.11</v>
      </c>
      <c r="BH106" s="93" t="s">
        <v>104</v>
      </c>
      <c r="BI106" s="32" cm="1">
        <f t="array" aca="1" ref="BI106" ca="1">_FV(EE106,"Beta")</f>
        <v>0.8548</v>
      </c>
      <c r="BJ106" s="96" cm="1">
        <f t="array" aca="1" ref="BJ106" ca="1">_FV(EE106,"Variação (%)",TRUE)</f>
        <v>-6.3019999999999994E-3</v>
      </c>
      <c r="BK106" s="49"/>
      <c r="BL106" s="49"/>
      <c r="BN106" s="32"/>
      <c r="BO106" s="20" cm="1">
        <f t="array" aca="1" ref="BO106" ca="1">_FV(EE106,"Baixo")</f>
        <v>114.18</v>
      </c>
      <c r="BP106" s="20" cm="1">
        <f t="array" aca="1" ref="BP106" ca="1">_FV(EE106,"Alto")</f>
        <v>115.99</v>
      </c>
      <c r="BQ106" s="32"/>
      <c r="BR106" s="74">
        <f ca="1">SQRT(22.5*(BG106/VLOOKUP(BH106,Fundamentus!A:U,3,FALSE))*(BG106/VLOOKUP(BH106,Fundamentus!A:U,4,FALSE)))</f>
        <v>137.60897895135165</v>
      </c>
      <c r="BT106" s="73">
        <f t="shared" ca="1" si="99"/>
        <v>1.3048016701461872E-3</v>
      </c>
      <c r="BU106" s="36">
        <f t="shared" si="100"/>
        <v>0.45272277227722774</v>
      </c>
      <c r="BV106" s="8"/>
      <c r="BW106" s="72">
        <f t="shared" si="101"/>
        <v>73.86</v>
      </c>
      <c r="BX106" s="72">
        <f t="shared" si="102"/>
        <v>93.645258620689688</v>
      </c>
      <c r="BY106" s="72">
        <f t="shared" si="103"/>
        <v>117.38</v>
      </c>
      <c r="BZ106" s="17"/>
      <c r="CA106" s="17"/>
      <c r="CB106" s="43">
        <f t="shared" si="104"/>
        <v>113.81865624250071</v>
      </c>
      <c r="CC106" s="18">
        <f t="shared" si="105"/>
        <v>115.72118088097454</v>
      </c>
      <c r="CD106" s="43">
        <f t="shared" si="106"/>
        <v>117.62370551944838</v>
      </c>
      <c r="CE106" s="98">
        <f t="shared" ca="1" si="107"/>
        <v>-0.32124728826892895</v>
      </c>
      <c r="CF106" s="17"/>
      <c r="CG106" s="20">
        <f t="shared" si="108"/>
        <v>43.233333333333334</v>
      </c>
      <c r="CH106" s="20">
        <f t="shared" si="109"/>
        <v>58.546666666666667</v>
      </c>
      <c r="CI106" s="20">
        <f t="shared" si="110"/>
        <v>86.75333333333333</v>
      </c>
      <c r="CJ106" s="49">
        <f t="shared" si="111"/>
        <v>102.06666666666666</v>
      </c>
      <c r="CK106" s="20">
        <f t="shared" si="112"/>
        <v>130.27333333333331</v>
      </c>
      <c r="CL106" s="20">
        <f t="shared" si="113"/>
        <v>145.58666666666664</v>
      </c>
      <c r="CM106" s="20">
        <f t="shared" si="114"/>
        <v>173.79333333333332</v>
      </c>
      <c r="CN106" s="2" cm="1">
        <f t="array" aca="1" ref="CN106" ca="1">MAX(_xlfn._xlws.FILTER(CG106:CM106,CG106:CM106&lt;BG106))</f>
        <v>102.06666666666666</v>
      </c>
      <c r="CO106" s="2" cm="1">
        <f t="array" aca="1" ref="CO106" ca="1">MIN(_xlfn._xlws.FILTER($CG106:$CM106,$CG106:$CM106&gt;BG106))</f>
        <v>130.27333333333331</v>
      </c>
      <c r="CP106" s="19">
        <f t="shared" ca="1" si="124"/>
        <v>0.27635532331809265</v>
      </c>
      <c r="CQ106" s="23">
        <f t="shared" ca="1" si="125"/>
        <v>-0.13817766165904632</v>
      </c>
      <c r="CR106" s="23">
        <f t="shared" ca="1" si="126"/>
        <v>-9.2118441106030888E-2</v>
      </c>
      <c r="CS106" s="23">
        <f t="shared" ca="1" si="127"/>
        <v>-5.527106466361853E-2</v>
      </c>
      <c r="CT106" s="23">
        <f t="shared" ca="1" si="128"/>
        <v>-3.0706147035343627E-2</v>
      </c>
      <c r="CU106" s="23">
        <f t="shared" ca="1" si="129"/>
        <v>-1.6256195489299567E-2</v>
      </c>
      <c r="CV106" s="23">
        <f t="shared" ca="1" si="130"/>
        <v>-8.3744037369118986E-3</v>
      </c>
      <c r="CW106" s="23">
        <f t="shared" ca="1" si="131"/>
        <v>-4.251620358739887E-3</v>
      </c>
      <c r="CX106" s="24">
        <f t="shared" ca="1" si="132"/>
        <v>4.251620358739887E-3</v>
      </c>
      <c r="CY106" s="24">
        <f t="shared" ca="1" si="133"/>
        <v>8.3744037369118986E-3</v>
      </c>
      <c r="CZ106" s="24">
        <f t="shared" ca="1" si="134"/>
        <v>1.6256195489299567E-2</v>
      </c>
      <c r="DA106" s="24">
        <f t="shared" ca="1" si="135"/>
        <v>3.0706147035343627E-2</v>
      </c>
      <c r="DB106" s="24">
        <f t="shared" ca="1" si="136"/>
        <v>5.527106466361853E-2</v>
      </c>
      <c r="DC106" s="24">
        <f t="shared" ca="1" si="137"/>
        <v>9.2118441106030888E-2</v>
      </c>
      <c r="DD106" s="24">
        <f t="shared" ca="1" si="138"/>
        <v>0.13817766165904632</v>
      </c>
      <c r="DF106" s="19" cm="1">
        <f t="array" aca="1" ref="DF106" ca="1">MAX(_xlfn._xlws.FILTER(CQ106:DD106,CQ106:DD106&lt;BJ106))</f>
        <v>-8.3744037369118986E-3</v>
      </c>
      <c r="DG106" s="19" cm="1">
        <f t="array" aca="1" ref="DG106" ca="1">MIN(_xlfn._xlws.FILTER(CQ106:DD106,CQ106:DD106&gt;BJ106))</f>
        <v>-4.251620358739887E-3</v>
      </c>
      <c r="DH106" s="2" cm="1">
        <f t="array" aca="1" ref="DH106" ca="1">_FV(EE106,"Fechamento anterior",TRUE)</f>
        <v>115.84</v>
      </c>
      <c r="DI106" s="36">
        <f t="shared" ca="1" si="115"/>
        <v>0.50272060564102972</v>
      </c>
      <c r="DJ106" s="18">
        <f t="shared" ca="1" si="139"/>
        <v>114.86990907111613</v>
      </c>
      <c r="DK106" s="18">
        <f t="shared" ca="1" si="140"/>
        <v>115.34749229764357</v>
      </c>
      <c r="DL106" s="9"/>
      <c r="DM106" s="9"/>
      <c r="DN106" s="9"/>
      <c r="DO106" s="9"/>
      <c r="DP106" s="79">
        <v>1.2699532586647841E-2</v>
      </c>
      <c r="DQ106" s="79">
        <v>7.0836960577042593E-3</v>
      </c>
      <c r="DR106" s="79">
        <v>7.6422182468694026E-3</v>
      </c>
      <c r="DS106" s="79">
        <f t="shared" ca="1" si="116"/>
        <v>4.1227833781720116E-3</v>
      </c>
      <c r="DT106" s="47"/>
      <c r="DU106" s="43">
        <f t="shared" si="117"/>
        <v>0.9512623192369194</v>
      </c>
      <c r="DV106" s="83">
        <f t="shared" ca="1" si="118"/>
        <v>1.2808999999999999</v>
      </c>
      <c r="DW106" s="83">
        <f t="shared" ca="1" si="119"/>
        <v>1.4849999999999999</v>
      </c>
      <c r="DX106" s="83">
        <f t="shared" ca="1" si="120"/>
        <v>-0.20409999999999995</v>
      </c>
      <c r="DY106" s="67"/>
      <c r="DZ106" s="67"/>
      <c r="EA106" s="85"/>
      <c r="EB106" s="44">
        <v>1947800</v>
      </c>
      <c r="EC106" s="44" cm="1">
        <f t="array" aca="1" ref="EC106" ca="1">_FV(EE106,"Volume")</f>
        <v>2382800</v>
      </c>
      <c r="EE106" s="2" t="e" vm="106">
        <v>#VALUE!</v>
      </c>
      <c r="EG106" s="10" cm="1">
        <f t="array" aca="1" ref="EG106" ca="1">_FV(EE106,"Ações em circulação",TRUE)</f>
        <v>683509900</v>
      </c>
      <c r="EH106" s="21">
        <f>VLOOKUP(BH106,Fundamentus!A:U,5,FALSE)</f>
        <v>2.069</v>
      </c>
      <c r="EI106" s="2">
        <f t="shared" ca="1" si="121"/>
        <v>38027464760.27066</v>
      </c>
      <c r="EJ106" s="20">
        <v>10231249255.300919</v>
      </c>
      <c r="EK106" s="20">
        <f t="shared" ca="1" si="122"/>
        <v>10244599006.416914</v>
      </c>
      <c r="EM106" s="40" t="str">
        <f>IF(VLOOKUP(BH106,Fundamentus!A:U,3,FALSE)&lt;15,"Bom",IF(VLOOKUP(BH106,Fundamentus!A:U,3,FALSE)&gt;15,"Ruim","n/a"))</f>
        <v>Bom</v>
      </c>
      <c r="EN106" s="36" t="str">
        <f>IF(VLOOKUP(BH106,Fundamentus!A:U,4,FALSE)&lt;1,"Baixo",IF(VLOOKUP(BH106,Fundamentus!A:U,4,FALSE)&lt;1.5,"Moderado",IF(VLOOKUP(BH106,Fundamentus!A:U,4,FALSE)&gt;1.5,"Alto","n/a")))</f>
        <v>Alto</v>
      </c>
      <c r="EO106" s="20" t="str">
        <f>IF(VLOOKUP(BH106,Fundamentus!A:U,8,FALSE)&lt;0,"Risco elevado",IF(VLOOKUP(BH106,Fundamentus!A:U,8,FALSE)&lt;1,"Saudável",IF(VLOOKUP(BH106,Fundamentus!A:U,8,FALSE)&lt;3,"Estável",IF(VLOOKUP(BH106,Fundamentus!A:U,8,FALSE)&gt;3,"Alerta","n/a"))))</f>
        <v>Alerta</v>
      </c>
      <c r="EP106" s="36" t="str">
        <f t="shared" si="123"/>
        <v>Bom</v>
      </c>
      <c r="EQ106" s="20" t="str">
        <f>IF(VLOOKUP(BH106,Fundamentus!A:U,12,FALSE)&lt;2,"Subvalorizada",IF(VLOOKUP(BH106,Fundamentus!A:U,12,FALSE)&lt;6,"Muita barata",IF(VLOOKUP(BH106,Fundamentus!A:U,12,FALSE)&lt;6,"Barata",IF(VLOOKUP(BH106,Fundamentus!A:U,12,FALSE)&lt;8,"Atrativa",IF(VLOOKUP(BH106,Fundamentus!A:U,12,FALSE)&gt;8,"Supervalorizada","n/a")))))</f>
        <v>Muita barata</v>
      </c>
      <c r="ES106" s="20" t="str">
        <f>IF(VLOOKUP(BH106,Fundamentus!A:U,17,FALSE)&lt;0.1,"Fraco retorno",IF(VLOOKUP(BH106,Fundamentus!A:U,17,FALSE)&gt;0.1,"Bom retorno","n/a"))</f>
        <v>Bom retorno</v>
      </c>
      <c r="ET106" s="20" t="str">
        <f>IF(VLOOKUP(BH106,Fundamentus!A:U,16,FALSE)&lt;0.1,"Ineficiente",IF(VLOOKUP(BH106,Fundamentus!A:U,16,FALSE)&gt;0.1,"Eficiente","n/a"))</f>
        <v>Eficiente</v>
      </c>
      <c r="EU106" s="41" t="str">
        <f>IF(VLOOKUP(BH106,Fundamentus!A:U,16,FALSE)&lt;0.1,"Oper. Ineficiente",IF(VLOOKUP(BH106,Fundamentus!A:U,16,FALSE)&gt;0.1,"Oper.Eficiente","n/a"))</f>
        <v>Oper.Eficiente</v>
      </c>
      <c r="EV106" s="42">
        <f>VLOOKUP(BH106,Fundamentus!A:U,14,FALSE)</f>
        <v>0.26939999999999997</v>
      </c>
      <c r="EW106" s="20" t="str">
        <f>IF(VLOOKUP(BH106,Fundamentus!A:U,21,FALSE)&lt;0,"Negativo",IF(VLOOKUP(BH106,Fundamentus!A:U,21,FALSE)&lt;0.05,"Fraco",IF(VLOOKUP(BH106,Fundamentus!A:U,21,FALSE)&lt;0.1,"Bom",IF(VLOOKUP(BH106,Fundamentus!A:U,21,FALSE)&gt;0.1,"Muito bom","n/a"))))</f>
        <v>Muito bom</v>
      </c>
      <c r="EY106" s="37" t="str">
        <f>IF(VLOOKUP(BH106,Fundamentus!A:U,15,FALSE)&gt;1,"Bom",IF(VLOOKUP(BH106,Fundamentus!A:U,15,FALSE)&lt;1,"Ruim","n/a"))</f>
        <v>Bom</v>
      </c>
      <c r="EZ106" s="20" t="str">
        <f>IF(VLOOKUP(BH106,Fundamentus!A:U,20,FALSE)&lt;0.5,"Baixa",IF(VLOOKUP(BH106,Fundamentus!A:U,20,FALSE)&lt;1,"Moderada",IF(VLOOKUP(BH106,Fundamentus!A:U,20,FALSE)&lt;2,"Alerta",IF(VLOOKUP(BH106,Fundamentus!A:U,20,FALSE)&gt;2,"Alta","n/a"))))</f>
        <v>Moderada</v>
      </c>
      <c r="FA106" s="10"/>
    </row>
    <row r="107" spans="1:157" s="2" customFormat="1" ht="11.25" hidden="1" x14ac:dyDescent="0.2">
      <c r="A107" s="4">
        <v>18.149999999999999</v>
      </c>
      <c r="B107" s="4">
        <v>18.8</v>
      </c>
      <c r="C107" s="4">
        <v>17.2</v>
      </c>
      <c r="D107" s="4">
        <v>16.53</v>
      </c>
      <c r="E107" s="4">
        <v>16.329999999999998</v>
      </c>
      <c r="F107" s="4">
        <v>15</v>
      </c>
      <c r="G107" s="4">
        <v>14.59</v>
      </c>
      <c r="H107" s="4">
        <v>14.39</v>
      </c>
      <c r="I107" s="4">
        <v>14.8</v>
      </c>
      <c r="J107" s="4">
        <v>15.12</v>
      </c>
      <c r="K107" s="4">
        <v>15.51</v>
      </c>
      <c r="L107" s="4">
        <v>15.39</v>
      </c>
      <c r="M107" s="4">
        <v>15.27</v>
      </c>
      <c r="N107" s="4">
        <v>14.9</v>
      </c>
      <c r="O107" s="4">
        <v>13.92</v>
      </c>
      <c r="P107" s="4">
        <v>13.71</v>
      </c>
      <c r="Q107" s="4">
        <v>13.33</v>
      </c>
      <c r="R107" s="4">
        <v>12.85</v>
      </c>
      <c r="S107" s="4">
        <v>12.6</v>
      </c>
      <c r="T107" s="4">
        <v>12.85</v>
      </c>
      <c r="U107" s="4">
        <v>12.02</v>
      </c>
      <c r="V107" s="4">
        <v>12</v>
      </c>
      <c r="W107" s="4">
        <v>11.98</v>
      </c>
      <c r="X107" s="4">
        <v>12.25</v>
      </c>
      <c r="Y107" s="4">
        <v>11.78</v>
      </c>
      <c r="Z107" s="4">
        <v>12.14</v>
      </c>
      <c r="AA107" s="4">
        <v>12.21</v>
      </c>
      <c r="AB107" s="4">
        <v>12.27</v>
      </c>
      <c r="AC107" s="4">
        <v>11.63</v>
      </c>
      <c r="AD107" s="4">
        <v>11.75</v>
      </c>
      <c r="AE107" s="4">
        <v>11.24</v>
      </c>
      <c r="AF107" s="4">
        <v>10.68</v>
      </c>
      <c r="AG107" s="4">
        <v>10.48</v>
      </c>
      <c r="AH107" s="4">
        <v>10.41</v>
      </c>
      <c r="AI107" s="4">
        <v>10.199999999999999</v>
      </c>
      <c r="AJ107" s="4">
        <v>9.8699999999999992</v>
      </c>
      <c r="AK107" s="4">
        <v>10.35</v>
      </c>
      <c r="AL107" s="4">
        <v>10.199999999999999</v>
      </c>
      <c r="AM107" s="4">
        <v>10.15</v>
      </c>
      <c r="AN107" s="4">
        <v>10.77</v>
      </c>
      <c r="AO107" s="4">
        <v>10.06</v>
      </c>
      <c r="AP107" s="4">
        <v>10.99</v>
      </c>
      <c r="AQ107" s="4">
        <v>10.56</v>
      </c>
      <c r="AR107" s="4">
        <v>10.029999999999999</v>
      </c>
      <c r="AS107" s="4">
        <v>10.5</v>
      </c>
      <c r="AT107" s="4">
        <v>10.32</v>
      </c>
      <c r="AU107" s="4">
        <v>10.715</v>
      </c>
      <c r="AV107" s="4">
        <v>10.55</v>
      </c>
      <c r="AW107" s="4">
        <v>10.18</v>
      </c>
      <c r="AX107" s="4">
        <v>9.9499999999999993</v>
      </c>
      <c r="AY107" s="12">
        <v>10.45</v>
      </c>
      <c r="AZ107" s="12">
        <v>10.69</v>
      </c>
      <c r="BA107" s="12">
        <v>10.33</v>
      </c>
      <c r="BB107" s="18">
        <v>10.29</v>
      </c>
      <c r="BC107" s="63">
        <v>12.05</v>
      </c>
      <c r="BD107" s="63">
        <v>11.7</v>
      </c>
      <c r="BE107" s="63">
        <v>11.2</v>
      </c>
      <c r="BF107" s="63">
        <v>11.33</v>
      </c>
      <c r="BG107" s="91" cm="1">
        <f t="array" aca="1" ref="BG107" ca="1">_FV(EE107,"Preço")</f>
        <v>11.42</v>
      </c>
      <c r="BH107" s="93" t="s">
        <v>105</v>
      </c>
      <c r="BI107" s="32" cm="1">
        <f t="array" aca="1" ref="BI107" ca="1">_FV(EE107,"Beta")</f>
        <v>0.62619999999999998</v>
      </c>
      <c r="BJ107" s="96" cm="1">
        <f t="array" aca="1" ref="BJ107" ca="1">_FV(EE107,"Variação (%)",TRUE)</f>
        <v>-8.6809999999999995E-3</v>
      </c>
      <c r="BK107" s="49"/>
      <c r="BL107" s="49"/>
      <c r="BN107" s="32"/>
      <c r="BO107" s="20" cm="1">
        <f t="array" aca="1" ref="BO107" ca="1">_FV(EE107,"Baixo")</f>
        <v>11.34</v>
      </c>
      <c r="BP107" s="20" cm="1">
        <f t="array" aca="1" ref="BP107" ca="1">_FV(EE107,"Alto")</f>
        <v>11.54</v>
      </c>
      <c r="BQ107" s="32"/>
      <c r="BR107" s="74">
        <f ca="1">SQRT(22.5*(BG107/VLOOKUP(BH107,Fundamentus!A:U,3,FALSE))*(BG107/VLOOKUP(BH107,Fundamentus!A:U,4,FALSE)))</f>
        <v>12.830470831858859</v>
      </c>
      <c r="BT107" s="73">
        <f t="shared" ca="1" si="99"/>
        <v>7.9435127978817171E-3</v>
      </c>
      <c r="BU107" s="36">
        <f t="shared" si="100"/>
        <v>-0.38292011019283745</v>
      </c>
      <c r="BV107" s="8"/>
      <c r="BW107" s="72">
        <f t="shared" si="101"/>
        <v>9.8699999999999992</v>
      </c>
      <c r="BX107" s="72">
        <f t="shared" si="102"/>
        <v>12.370948275862071</v>
      </c>
      <c r="BY107" s="72">
        <f t="shared" si="103"/>
        <v>18.8</v>
      </c>
      <c r="BZ107" s="17"/>
      <c r="CA107" s="17"/>
      <c r="CB107" s="43">
        <f t="shared" si="104"/>
        <v>10.25387632671551</v>
      </c>
      <c r="CC107" s="18">
        <f t="shared" si="105"/>
        <v>10.918556701030866</v>
      </c>
      <c r="CD107" s="43">
        <f t="shared" si="106"/>
        <v>11.583237075346222</v>
      </c>
      <c r="CE107" s="98">
        <f t="shared" ca="1" si="107"/>
        <v>0.75441267464175987</v>
      </c>
      <c r="CF107" s="17"/>
      <c r="CG107" s="20">
        <f t="shared" si="108"/>
        <v>-1.0633333333333344</v>
      </c>
      <c r="CH107" s="20">
        <f t="shared" si="109"/>
        <v>4.4033333333333324</v>
      </c>
      <c r="CI107" s="20">
        <f t="shared" si="110"/>
        <v>7.8666666666666671</v>
      </c>
      <c r="CJ107" s="49">
        <f t="shared" si="111"/>
        <v>13.333333333333334</v>
      </c>
      <c r="CK107" s="20">
        <f t="shared" si="112"/>
        <v>16.796666666666667</v>
      </c>
      <c r="CL107" s="20">
        <f t="shared" si="113"/>
        <v>22.263333333333335</v>
      </c>
      <c r="CM107" s="20">
        <f t="shared" si="114"/>
        <v>25.72666666666667</v>
      </c>
      <c r="CN107" s="2" cm="1">
        <f t="array" aca="1" ref="CN107" ca="1">MAX(_xlfn._xlws.FILTER(CG107:CM107,CG107:CM107&lt;BG107))</f>
        <v>7.8666666666666671</v>
      </c>
      <c r="CO107" s="2" cm="1">
        <f t="array" aca="1" ref="CO107" ca="1">MIN(_xlfn._xlws.FILTER($CG107:$CM107,$CG107:$CM107&gt;BG107))</f>
        <v>13.333333333333334</v>
      </c>
      <c r="CP107" s="19">
        <f t="shared" ca="1" si="124"/>
        <v>0.69491525423728806</v>
      </c>
      <c r="CQ107" s="23">
        <f t="shared" ca="1" si="125"/>
        <v>-0.34745762711864403</v>
      </c>
      <c r="CR107" s="23">
        <f t="shared" ca="1" si="126"/>
        <v>-0.23163841807909602</v>
      </c>
      <c r="CS107" s="23">
        <f t="shared" ca="1" si="127"/>
        <v>-0.1389830508474576</v>
      </c>
      <c r="CT107" s="23">
        <f t="shared" ca="1" si="128"/>
        <v>-7.7212806026365335E-2</v>
      </c>
      <c r="CU107" s="23">
        <f t="shared" ca="1" si="129"/>
        <v>-4.0877367896311065E-2</v>
      </c>
      <c r="CV107" s="23">
        <f t="shared" ca="1" si="130"/>
        <v>-2.1058038007190548E-2</v>
      </c>
      <c r="CW107" s="23">
        <f t="shared" ca="1" si="131"/>
        <v>-1.0691003911342893E-2</v>
      </c>
      <c r="CX107" s="24">
        <f t="shared" ca="1" si="132"/>
        <v>1.0691003911342893E-2</v>
      </c>
      <c r="CY107" s="24">
        <f t="shared" ca="1" si="133"/>
        <v>2.1058038007190548E-2</v>
      </c>
      <c r="CZ107" s="24">
        <f t="shared" ca="1" si="134"/>
        <v>4.0877367896311065E-2</v>
      </c>
      <c r="DA107" s="24">
        <f t="shared" ca="1" si="135"/>
        <v>7.7212806026365335E-2</v>
      </c>
      <c r="DB107" s="24">
        <f t="shared" ca="1" si="136"/>
        <v>0.1389830508474576</v>
      </c>
      <c r="DC107" s="24">
        <f t="shared" ca="1" si="137"/>
        <v>0.23163841807909602</v>
      </c>
      <c r="DD107" s="24">
        <f t="shared" ca="1" si="138"/>
        <v>0.34745762711864403</v>
      </c>
      <c r="DF107" s="19" cm="1">
        <f t="array" aca="1" ref="DF107" ca="1">MAX(_xlfn._xlws.FILTER(CQ107:DD107,CQ107:DD107&lt;BJ107))</f>
        <v>-1.0691003911342893E-2</v>
      </c>
      <c r="DG107" s="19" cm="1">
        <f t="array" aca="1" ref="DG107" ca="1">MIN(_xlfn._xlws.FILTER(CQ107:DD107,CQ107:DD107&gt;BJ107))</f>
        <v>1.0691003911342893E-2</v>
      </c>
      <c r="DH107" s="2" cm="1">
        <f t="array" aca="1" ref="DH107" ca="1">_FV(EE107,"Fechamento anterior",TRUE)</f>
        <v>11.52</v>
      </c>
      <c r="DI107" s="36">
        <f t="shared" ca="1" si="115"/>
        <v>9.4025237127371902E-2</v>
      </c>
      <c r="DJ107" s="18">
        <f t="shared" ca="1" si="139"/>
        <v>11.39683963494133</v>
      </c>
      <c r="DK107" s="18">
        <f t="shared" ca="1" si="140"/>
        <v>11.643160365058669</v>
      </c>
      <c r="DL107" s="9"/>
      <c r="DM107" s="9"/>
      <c r="DN107" s="9"/>
      <c r="DO107" s="9"/>
      <c r="DP107" s="79">
        <v>4.4926074939877783E-2</v>
      </c>
      <c r="DQ107" s="79">
        <v>1.2818068933895197E-2</v>
      </c>
      <c r="DR107" s="79">
        <v>2.6437267176158848E-2</v>
      </c>
      <c r="DS107" s="79">
        <f t="shared" ca="1" si="116"/>
        <v>2.1382007822685786E-2</v>
      </c>
      <c r="DT107" s="47"/>
      <c r="DU107" s="43">
        <f t="shared" si="117"/>
        <v>0.33234018715767771</v>
      </c>
      <c r="DV107" s="83">
        <f t="shared" ca="1" si="118"/>
        <v>1.0523</v>
      </c>
      <c r="DW107" s="83">
        <f t="shared" ca="1" si="119"/>
        <v>1.4943</v>
      </c>
      <c r="DX107" s="83">
        <f t="shared" ca="1" si="120"/>
        <v>-0.44199999999999995</v>
      </c>
      <c r="DY107" s="67"/>
      <c r="DZ107" s="67"/>
      <c r="EA107" s="85"/>
      <c r="EB107" s="44">
        <v>273900</v>
      </c>
      <c r="EC107" s="44" cm="1">
        <f t="array" aca="1" ref="EC107" ca="1">_FV(EE107,"Volume")</f>
        <v>284500</v>
      </c>
      <c r="EE107" s="2" t="e" vm="107">
        <v>#VALUE!</v>
      </c>
      <c r="EG107" s="10" cm="1">
        <f t="array" aca="1" ref="EG107" ca="1">_FV(EE107,"Ações em circulação",TRUE)</f>
        <v>135322100</v>
      </c>
      <c r="EH107" s="21">
        <f>VLOOKUP(BH107,Fundamentus!A:U,5,FALSE)</f>
        <v>0.81499999999999995</v>
      </c>
      <c r="EI107" s="2">
        <f t="shared" ca="1" si="121"/>
        <v>1896169793.8650308</v>
      </c>
      <c r="EJ107" s="20">
        <v>167241013.54319021</v>
      </c>
      <c r="EK107" s="20">
        <f t="shared" ca="1" si="122"/>
        <v>168569494.67460126</v>
      </c>
      <c r="EM107" s="40" t="str">
        <f>IF(VLOOKUP(BH107,Fundamentus!A:U,3,FALSE)&lt;15,"Bom",IF(VLOOKUP(BH107,Fundamentus!A:U,3,FALSE)&gt;15,"Ruim","n/a"))</f>
        <v>Ruim</v>
      </c>
      <c r="EN107" s="36" t="str">
        <f>IF(VLOOKUP(BH107,Fundamentus!A:U,4,FALSE)&lt;1,"Baixo",IF(VLOOKUP(BH107,Fundamentus!A:U,4,FALSE)&lt;1.5,"Moderado",IF(VLOOKUP(BH107,Fundamentus!A:U,4,FALSE)&gt;1.5,"Alto","n/a")))</f>
        <v>Moderado</v>
      </c>
      <c r="EO107" s="20" t="str">
        <f>IF(VLOOKUP(BH107,Fundamentus!A:U,8,FALSE)&lt;0,"Risco elevado",IF(VLOOKUP(BH107,Fundamentus!A:U,8,FALSE)&lt;1,"Saudável",IF(VLOOKUP(BH107,Fundamentus!A:U,8,FALSE)&lt;3,"Estável",IF(VLOOKUP(BH107,Fundamentus!A:U,8,FALSE)&gt;3,"Alerta","n/a"))))</f>
        <v>Saudável</v>
      </c>
      <c r="EP107" s="36" t="str">
        <f t="shared" si="123"/>
        <v>Ruim</v>
      </c>
      <c r="EQ107" s="20" t="str">
        <f>IF(VLOOKUP(BH107,Fundamentus!A:U,12,FALSE)&lt;2,"Subvalorizada",IF(VLOOKUP(BH107,Fundamentus!A:U,12,FALSE)&lt;6,"Muita barata",IF(VLOOKUP(BH107,Fundamentus!A:U,12,FALSE)&lt;6,"Barata",IF(VLOOKUP(BH107,Fundamentus!A:U,12,FALSE)&lt;8,"Atrativa",IF(VLOOKUP(BH107,Fundamentus!A:U,12,FALSE)&gt;8,"Supervalorizada","n/a")))))</f>
        <v>Supervalorizada</v>
      </c>
      <c r="ES107" s="20" t="str">
        <f>IF(VLOOKUP(BH107,Fundamentus!A:U,17,FALSE)&lt;0.1,"Fraco retorno",IF(VLOOKUP(BH107,Fundamentus!A:U,17,FALSE)&gt;0.1,"Bom retorno","n/a"))</f>
        <v>Fraco retorno</v>
      </c>
      <c r="ET107" s="20" t="str">
        <f>IF(VLOOKUP(BH107,Fundamentus!A:U,16,FALSE)&lt;0.1,"Ineficiente",IF(VLOOKUP(BH107,Fundamentus!A:U,16,FALSE)&gt;0.1,"Eficiente","n/a"))</f>
        <v>Ineficiente</v>
      </c>
      <c r="EU107" s="41" t="str">
        <f>IF(VLOOKUP(BH107,Fundamentus!A:U,16,FALSE)&lt;0.1,"Oper. Ineficiente",IF(VLOOKUP(BH107,Fundamentus!A:U,16,FALSE)&gt;0.1,"Oper.Eficiente","n/a"))</f>
        <v>Oper. Ineficiente</v>
      </c>
      <c r="EV107" s="42">
        <f>VLOOKUP(BH107,Fundamentus!A:U,14,FALSE)</f>
        <v>8.8900000000000007E-2</v>
      </c>
      <c r="EW107" s="20" t="str">
        <f>IF(VLOOKUP(BH107,Fundamentus!A:U,21,FALSE)&lt;0,"Negativo",IF(VLOOKUP(BH107,Fundamentus!A:U,21,FALSE)&lt;0.05,"Fraco",IF(VLOOKUP(BH107,Fundamentus!A:U,21,FALSE)&lt;0.1,"Bom",IF(VLOOKUP(BH107,Fundamentus!A:U,21,FALSE)&gt;0.1,"Muito bom","n/a"))))</f>
        <v>Muito bom</v>
      </c>
      <c r="EY107" s="37" t="str">
        <f>IF(VLOOKUP(BH107,Fundamentus!A:U,15,FALSE)&gt;1,"Bom",IF(VLOOKUP(BH107,Fundamentus!A:U,15,FALSE)&lt;1,"Ruim","n/a"))</f>
        <v>Bom</v>
      </c>
      <c r="EZ107" s="20" t="str">
        <f>IF(VLOOKUP(BH107,Fundamentus!A:U,20,FALSE)&lt;0.5,"Baixa",IF(VLOOKUP(BH107,Fundamentus!A:U,20,FALSE)&lt;1,"Moderada",IF(VLOOKUP(BH107,Fundamentus!A:U,20,FALSE)&lt;2,"Alerta",IF(VLOOKUP(BH107,Fundamentus!A:U,20,FALSE)&gt;2,"Alta","n/a"))))</f>
        <v>Moderada</v>
      </c>
      <c r="FA107" s="10"/>
    </row>
    <row r="108" spans="1:157" s="2" customFormat="1" ht="11.25" hidden="1" x14ac:dyDescent="0.2">
      <c r="A108" s="4">
        <v>7.6</v>
      </c>
      <c r="B108" s="4">
        <v>7.26</v>
      </c>
      <c r="C108" s="4">
        <v>7.14</v>
      </c>
      <c r="D108" s="4">
        <v>7.1</v>
      </c>
      <c r="E108" s="4">
        <v>6.97</v>
      </c>
      <c r="F108" s="4">
        <v>6.49</v>
      </c>
      <c r="G108" s="4">
        <v>6</v>
      </c>
      <c r="H108" s="4">
        <v>6.04</v>
      </c>
      <c r="I108" s="4">
        <v>5.95</v>
      </c>
      <c r="J108" s="4">
        <v>6.15</v>
      </c>
      <c r="K108" s="4">
        <v>6.27</v>
      </c>
      <c r="L108" s="4">
        <v>6.4</v>
      </c>
      <c r="M108" s="4">
        <v>6.66</v>
      </c>
      <c r="N108" s="4">
        <v>6.47</v>
      </c>
      <c r="O108" s="4">
        <v>6.41</v>
      </c>
      <c r="P108" s="4">
        <v>6.02</v>
      </c>
      <c r="Q108" s="4">
        <v>6.2</v>
      </c>
      <c r="R108" s="4">
        <v>7.26</v>
      </c>
      <c r="S108" s="4">
        <v>7.45</v>
      </c>
      <c r="T108" s="4">
        <v>7.35</v>
      </c>
      <c r="U108" s="4">
        <v>7.08</v>
      </c>
      <c r="V108" s="4">
        <v>6.66</v>
      </c>
      <c r="W108" s="4">
        <v>6.56</v>
      </c>
      <c r="X108" s="4">
        <v>6.54</v>
      </c>
      <c r="Y108" s="4">
        <v>6.5</v>
      </c>
      <c r="Z108" s="4">
        <v>6.35</v>
      </c>
      <c r="AA108" s="4">
        <v>6.29</v>
      </c>
      <c r="AB108" s="4">
        <v>6.8</v>
      </c>
      <c r="AC108" s="4">
        <v>6.32</v>
      </c>
      <c r="AD108" s="4">
        <v>6.49</v>
      </c>
      <c r="AE108" s="4">
        <v>6.18</v>
      </c>
      <c r="AF108" s="4">
        <v>6.1</v>
      </c>
      <c r="AG108" s="4">
        <v>6</v>
      </c>
      <c r="AH108" s="4">
        <v>5.7</v>
      </c>
      <c r="AI108" s="4">
        <v>5.96</v>
      </c>
      <c r="AJ108" s="4">
        <v>5.63</v>
      </c>
      <c r="AK108" s="4">
        <v>5.76</v>
      </c>
      <c r="AL108" s="4">
        <v>5.79</v>
      </c>
      <c r="AM108" s="4">
        <v>5.61</v>
      </c>
      <c r="AN108" s="4">
        <v>6.63</v>
      </c>
      <c r="AO108" s="4">
        <v>6.97</v>
      </c>
      <c r="AP108" s="4">
        <v>6.9</v>
      </c>
      <c r="AQ108" s="4">
        <v>7.4</v>
      </c>
      <c r="AR108" s="4">
        <v>7.39</v>
      </c>
      <c r="AS108" s="4">
        <v>7.5</v>
      </c>
      <c r="AT108" s="4">
        <v>7.43</v>
      </c>
      <c r="AU108" s="4">
        <v>7.4849999999999994</v>
      </c>
      <c r="AV108" s="4">
        <v>7.88</v>
      </c>
      <c r="AW108" s="4">
        <v>7.6</v>
      </c>
      <c r="AX108" s="4">
        <v>7</v>
      </c>
      <c r="AY108" s="12">
        <v>6.45</v>
      </c>
      <c r="AZ108" s="12">
        <v>6.07</v>
      </c>
      <c r="BA108" s="12">
        <v>5.7</v>
      </c>
      <c r="BB108" s="18">
        <v>5.3</v>
      </c>
      <c r="BC108" s="63">
        <v>5.04</v>
      </c>
      <c r="BD108" s="63">
        <v>4.74</v>
      </c>
      <c r="BE108" s="63">
        <v>4.66</v>
      </c>
      <c r="BF108" s="63">
        <v>4.57</v>
      </c>
      <c r="BG108" s="91" cm="1">
        <f t="array" aca="1" ref="BG108" ca="1">_FV(EE108,"Preço")</f>
        <v>4.88</v>
      </c>
      <c r="BH108" s="93" t="s">
        <v>106</v>
      </c>
      <c r="BI108" s="32" cm="1">
        <f t="array" aca="1" ref="BI108" ca="1">_FV(EE108,"Beta")</f>
        <v>0.40050000000000002</v>
      </c>
      <c r="BJ108" s="96" cm="1">
        <f t="array" aca="1" ref="BJ108" ca="1">_FV(EE108,"Variação (%)",TRUE)</f>
        <v>0</v>
      </c>
      <c r="BK108" s="49"/>
      <c r="BL108" s="49"/>
      <c r="BN108" s="32"/>
      <c r="BO108" s="20" cm="1">
        <f t="array" aca="1" ref="BO108" ca="1">_FV(EE108,"Baixo")</f>
        <v>4.76</v>
      </c>
      <c r="BP108" s="20" cm="1">
        <f t="array" aca="1" ref="BP108" ca="1">_FV(EE108,"Alto")</f>
        <v>4.97</v>
      </c>
      <c r="BQ108" s="32"/>
      <c r="BR108" s="74">
        <f ca="1">SQRT(22.5*(BG108/VLOOKUP(BH108,Fundamentus!A:U,3,FALSE))*(BG108/VLOOKUP(BH108,Fundamentus!A:U,4,FALSE)))</f>
        <v>13.998965446586409</v>
      </c>
      <c r="BT108" s="73">
        <f t="shared" ca="1" si="99"/>
        <v>6.7833698030634479E-2</v>
      </c>
      <c r="BU108" s="36">
        <f t="shared" si="100"/>
        <v>-0.38684210526315782</v>
      </c>
      <c r="BV108" s="8"/>
      <c r="BW108" s="72">
        <f t="shared" si="101"/>
        <v>4.57</v>
      </c>
      <c r="BX108" s="72">
        <f t="shared" si="102"/>
        <v>6.4521551724137938</v>
      </c>
      <c r="BY108" s="72">
        <f t="shared" si="103"/>
        <v>7.88</v>
      </c>
      <c r="BZ108" s="17"/>
      <c r="CA108" s="17"/>
      <c r="CB108" s="43">
        <f t="shared" si="104"/>
        <v>4.0332607922486732</v>
      </c>
      <c r="CC108" s="18">
        <f t="shared" si="105"/>
        <v>4.3863542642925495</v>
      </c>
      <c r="CD108" s="43">
        <f t="shared" si="106"/>
        <v>4.7394477363364258</v>
      </c>
      <c r="CE108" s="98">
        <f t="shared" ca="1" si="107"/>
        <v>1.3980596493330488</v>
      </c>
      <c r="CF108" s="17"/>
      <c r="CG108" s="20">
        <f t="shared" si="108"/>
        <v>0.15666666666666629</v>
      </c>
      <c r="CH108" s="20">
        <f t="shared" si="109"/>
        <v>2.3633333333333333</v>
      </c>
      <c r="CI108" s="20">
        <f t="shared" si="110"/>
        <v>3.4666666666666659</v>
      </c>
      <c r="CJ108" s="49">
        <f t="shared" si="111"/>
        <v>5.6733333333333329</v>
      </c>
      <c r="CK108" s="20">
        <f t="shared" si="112"/>
        <v>6.7766666666666655</v>
      </c>
      <c r="CL108" s="20">
        <f t="shared" si="113"/>
        <v>8.9833333333333325</v>
      </c>
      <c r="CM108" s="20">
        <f t="shared" si="114"/>
        <v>10.086666666666666</v>
      </c>
      <c r="CN108" s="2" cm="1">
        <f t="array" aca="1" ref="CN108" ca="1">MAX(_xlfn._xlws.FILTER(CG108:CM108,CG108:CM108&lt;BG108))</f>
        <v>3.4666666666666659</v>
      </c>
      <c r="CO108" s="2" cm="1">
        <f t="array" aca="1" ref="CO108" ca="1">MIN(_xlfn._xlws.FILTER($CG108:$CM108,$CG108:$CM108&gt;BG108))</f>
        <v>5.6733333333333329</v>
      </c>
      <c r="CP108" s="19">
        <f t="shared" ca="1" si="124"/>
        <v>0.63653846153846172</v>
      </c>
      <c r="CQ108" s="23">
        <f t="shared" ca="1" si="125"/>
        <v>-0.31826923076923086</v>
      </c>
      <c r="CR108" s="23">
        <f t="shared" ca="1" si="126"/>
        <v>-0.21217948717948723</v>
      </c>
      <c r="CS108" s="23">
        <f t="shared" ca="1" si="127"/>
        <v>-0.12730769230769234</v>
      </c>
      <c r="CT108" s="23">
        <f t="shared" ca="1" si="128"/>
        <v>-7.0726495726495753E-2</v>
      </c>
      <c r="CU108" s="23">
        <f t="shared" ca="1" si="129"/>
        <v>-3.7443438914027162E-2</v>
      </c>
      <c r="CV108" s="23">
        <f t="shared" ca="1" si="130"/>
        <v>-1.9289044289044294E-2</v>
      </c>
      <c r="CW108" s="23">
        <f t="shared" ca="1" si="131"/>
        <v>-9.7928994082840271E-3</v>
      </c>
      <c r="CX108" s="24">
        <f t="shared" ca="1" si="132"/>
        <v>9.7928994082840271E-3</v>
      </c>
      <c r="CY108" s="24">
        <f t="shared" ca="1" si="133"/>
        <v>1.9289044289044294E-2</v>
      </c>
      <c r="CZ108" s="24">
        <f t="shared" ca="1" si="134"/>
        <v>3.7443438914027162E-2</v>
      </c>
      <c r="DA108" s="24">
        <f t="shared" ca="1" si="135"/>
        <v>7.0726495726495753E-2</v>
      </c>
      <c r="DB108" s="24">
        <f t="shared" ca="1" si="136"/>
        <v>0.12730769230769234</v>
      </c>
      <c r="DC108" s="24">
        <f t="shared" ca="1" si="137"/>
        <v>0.21217948717948723</v>
      </c>
      <c r="DD108" s="24">
        <f t="shared" ca="1" si="138"/>
        <v>0.31826923076923086</v>
      </c>
      <c r="DF108" s="19" cm="1">
        <f t="array" aca="1" ref="DF108" ca="1">MAX(_xlfn._xlws.FILTER(CQ108:DD108,CQ108:DD108&lt;BJ108))</f>
        <v>-9.7928994082840271E-3</v>
      </c>
      <c r="DG108" s="19" cm="1">
        <f t="array" aca="1" ref="DG108" ca="1">MIN(_xlfn._xlws.FILTER(CQ108:DD108,CQ108:DD108&gt;BJ108))</f>
        <v>9.7928994082840271E-3</v>
      </c>
      <c r="DH108" s="2" cm="1">
        <f t="array" aca="1" ref="DH108" ca="1">_FV(EE108,"Fechamento anterior",TRUE)</f>
        <v>4.88</v>
      </c>
      <c r="DI108" s="36">
        <f t="shared" ca="1" si="115"/>
        <v>0.5</v>
      </c>
      <c r="DJ108" s="18">
        <f t="shared" ca="1" si="139"/>
        <v>4.832210650887574</v>
      </c>
      <c r="DK108" s="18">
        <f t="shared" ca="1" si="140"/>
        <v>4.9277893491124258</v>
      </c>
      <c r="DL108" s="9"/>
      <c r="DM108" s="9"/>
      <c r="DN108" s="9"/>
      <c r="DO108" s="9"/>
      <c r="DP108" s="79">
        <v>1.2834224598930478E-2</v>
      </c>
      <c r="DQ108" s="79">
        <v>1.8085731062830297E-2</v>
      </c>
      <c r="DR108" s="79">
        <v>1.7867585410017393E-2</v>
      </c>
      <c r="DS108" s="79">
        <f t="shared" ca="1" si="116"/>
        <v>1.9585798816568054E-2</v>
      </c>
      <c r="DT108" s="47"/>
      <c r="DU108" s="43">
        <f t="shared" si="117"/>
        <v>0.17654673602193832</v>
      </c>
      <c r="DV108" s="83">
        <f t="shared" ca="1" si="118"/>
        <v>0.8266</v>
      </c>
      <c r="DW108" s="83">
        <f t="shared" ca="1" si="119"/>
        <v>0.40050000000000002</v>
      </c>
      <c r="DX108" s="83">
        <f t="shared" ca="1" si="120"/>
        <v>0.42609999999999998</v>
      </c>
      <c r="DY108" s="67"/>
      <c r="DZ108" s="67"/>
      <c r="EA108" s="85"/>
      <c r="EB108" s="44">
        <v>51700</v>
      </c>
      <c r="EC108" s="44" cm="1">
        <f t="array" aca="1" ref="EC108" ca="1">_FV(EE108,"Volume")</f>
        <v>20900</v>
      </c>
      <c r="EE108" s="2" t="e" vm="108">
        <v>#VALUE!</v>
      </c>
      <c r="EG108" s="10" cm="1">
        <f t="array" aca="1" ref="EG108" ca="1">_FV(EE108,"Ações em circulação",TRUE)</f>
        <v>48046490</v>
      </c>
      <c r="EH108" s="21">
        <f>VLOOKUP(BH108,Fundamentus!A:U,5,FALSE)</f>
        <v>0.26200000000000001</v>
      </c>
      <c r="EI108" s="2">
        <f t="shared" ca="1" si="121"/>
        <v>894911722.13740444</v>
      </c>
      <c r="EJ108" s="20">
        <v>60424329.448587783</v>
      </c>
      <c r="EK108" s="20">
        <f t="shared" ca="1" si="122"/>
        <v>64523135.166106857</v>
      </c>
      <c r="EM108" s="40" t="str">
        <f>IF(VLOOKUP(BH108,Fundamentus!A:U,3,FALSE)&lt;15,"Bom",IF(VLOOKUP(BH108,Fundamentus!A:U,3,FALSE)&gt;15,"Ruim","n/a"))</f>
        <v>Bom</v>
      </c>
      <c r="EN108" s="36" t="str">
        <f>IF(VLOOKUP(BH108,Fundamentus!A:U,4,FALSE)&lt;1,"Baixo",IF(VLOOKUP(BH108,Fundamentus!A:U,4,FALSE)&lt;1.5,"Moderado",IF(VLOOKUP(BH108,Fundamentus!A:U,4,FALSE)&gt;1.5,"Alto","n/a")))</f>
        <v>Baixo</v>
      </c>
      <c r="EO108" s="20" t="str">
        <f>IF(VLOOKUP(BH108,Fundamentus!A:U,8,FALSE)&lt;0,"Risco elevado",IF(VLOOKUP(BH108,Fundamentus!A:U,8,FALSE)&lt;1,"Saudável",IF(VLOOKUP(BH108,Fundamentus!A:U,8,FALSE)&lt;3,"Estável",IF(VLOOKUP(BH108,Fundamentus!A:U,8,FALSE)&gt;3,"Alerta","n/a"))))</f>
        <v>Saudável</v>
      </c>
      <c r="EP108" s="36" t="str">
        <f t="shared" si="123"/>
        <v>Ruim</v>
      </c>
      <c r="EQ108" s="20" t="str">
        <f>IF(VLOOKUP(BH108,Fundamentus!A:U,12,FALSE)&lt;2,"Subvalorizada",IF(VLOOKUP(BH108,Fundamentus!A:U,12,FALSE)&lt;6,"Muita barata",IF(VLOOKUP(BH108,Fundamentus!A:U,12,FALSE)&lt;6,"Barata",IF(VLOOKUP(BH108,Fundamentus!A:U,12,FALSE)&lt;8,"Atrativa",IF(VLOOKUP(BH108,Fundamentus!A:U,12,FALSE)&gt;8,"Supervalorizada","n/a")))))</f>
        <v>Muita barata</v>
      </c>
      <c r="ES108" s="20" t="str">
        <f>IF(VLOOKUP(BH108,Fundamentus!A:U,17,FALSE)&lt;0.1,"Fraco retorno",IF(VLOOKUP(BH108,Fundamentus!A:U,17,FALSE)&gt;0.1,"Bom retorno","n/a"))</f>
        <v>Fraco retorno</v>
      </c>
      <c r="ET108" s="20" t="str">
        <f>IF(VLOOKUP(BH108,Fundamentus!A:U,16,FALSE)&lt;0.1,"Ineficiente",IF(VLOOKUP(BH108,Fundamentus!A:U,16,FALSE)&gt;0.1,"Eficiente","n/a"))</f>
        <v>Ineficiente</v>
      </c>
      <c r="EU108" s="41" t="str">
        <f>IF(VLOOKUP(BH108,Fundamentus!A:U,16,FALSE)&lt;0.1,"Oper. Ineficiente",IF(VLOOKUP(BH108,Fundamentus!A:U,16,FALSE)&gt;0.1,"Oper.Eficiente","n/a"))</f>
        <v>Oper. Ineficiente</v>
      </c>
      <c r="EV108" s="42">
        <f>VLOOKUP(BH108,Fundamentus!A:U,14,FALSE)</f>
        <v>7.2099999999999997E-2</v>
      </c>
      <c r="EW108" s="20" t="str">
        <f>IF(VLOOKUP(BH108,Fundamentus!A:U,21,FALSE)&lt;0,"Negativo",IF(VLOOKUP(BH108,Fundamentus!A:U,21,FALSE)&lt;0.05,"Fraco",IF(VLOOKUP(BH108,Fundamentus!A:U,21,FALSE)&lt;0.1,"Bom",IF(VLOOKUP(BH108,Fundamentus!A:U,21,FALSE)&gt;0.1,"Muito bom","n/a"))))</f>
        <v>Bom</v>
      </c>
      <c r="EY108" s="37" t="str">
        <f>IF(VLOOKUP(BH108,Fundamentus!A:U,15,FALSE)&gt;1,"Bom",IF(VLOOKUP(BH108,Fundamentus!A:U,15,FALSE)&lt;1,"Ruim","n/a"))</f>
        <v>Bom</v>
      </c>
      <c r="EZ108" s="20" t="str">
        <f>IF(VLOOKUP(BH108,Fundamentus!A:U,20,FALSE)&lt;0.5,"Baixa",IF(VLOOKUP(BH108,Fundamentus!A:U,20,FALSE)&lt;1,"Moderada",IF(VLOOKUP(BH108,Fundamentus!A:U,20,FALSE)&lt;2,"Alerta",IF(VLOOKUP(BH108,Fundamentus!A:U,20,FALSE)&gt;2,"Alta","n/a"))))</f>
        <v>Moderada</v>
      </c>
      <c r="FA108" s="10"/>
    </row>
    <row r="109" spans="1:157" s="2" customFormat="1" ht="11.25" hidden="1" x14ac:dyDescent="0.2">
      <c r="A109" s="4">
        <v>13.53</v>
      </c>
      <c r="B109" s="4">
        <v>13.17</v>
      </c>
      <c r="C109" s="4">
        <v>13.87</v>
      </c>
      <c r="D109" s="4">
        <v>15.87</v>
      </c>
      <c r="E109" s="4">
        <v>16.21</v>
      </c>
      <c r="F109" s="4">
        <v>15.65</v>
      </c>
      <c r="G109" s="4">
        <v>15.31</v>
      </c>
      <c r="H109" s="4">
        <v>14.79</v>
      </c>
      <c r="I109" s="4">
        <v>15.3</v>
      </c>
      <c r="J109" s="4">
        <v>15.13</v>
      </c>
      <c r="K109" s="4">
        <v>15.64</v>
      </c>
      <c r="L109" s="4">
        <v>15.39</v>
      </c>
      <c r="M109" s="4">
        <v>16.149999999999999</v>
      </c>
      <c r="N109" s="4">
        <v>17.14</v>
      </c>
      <c r="O109" s="4">
        <v>16.760000000000002</v>
      </c>
      <c r="P109" s="4">
        <v>16.23</v>
      </c>
      <c r="Q109" s="4">
        <v>16.079999999999998</v>
      </c>
      <c r="R109" s="4">
        <v>15.4</v>
      </c>
      <c r="S109" s="4">
        <v>14.94</v>
      </c>
      <c r="T109" s="4">
        <v>15.55</v>
      </c>
      <c r="U109" s="4">
        <v>16.329999999999998</v>
      </c>
      <c r="V109" s="4">
        <v>14.91</v>
      </c>
      <c r="W109" s="4">
        <v>14.21</v>
      </c>
      <c r="X109" s="4">
        <v>13.53</v>
      </c>
      <c r="Y109" s="4">
        <v>12.92</v>
      </c>
      <c r="Z109" s="4">
        <v>13.3</v>
      </c>
      <c r="AA109" s="4">
        <v>13</v>
      </c>
      <c r="AB109" s="4">
        <v>13.75</v>
      </c>
      <c r="AC109" s="4">
        <v>13.54</v>
      </c>
      <c r="AD109" s="4">
        <v>13.79</v>
      </c>
      <c r="AE109" s="4">
        <v>12.83</v>
      </c>
      <c r="AF109" s="4">
        <v>12.92</v>
      </c>
      <c r="AG109" s="4">
        <v>11.58</v>
      </c>
      <c r="AH109" s="4">
        <v>10.3</v>
      </c>
      <c r="AI109" s="4">
        <v>10.199999999999999</v>
      </c>
      <c r="AJ109" s="4">
        <v>10.31</v>
      </c>
      <c r="AK109" s="4">
        <v>10.1</v>
      </c>
      <c r="AL109" s="4">
        <v>10.199999999999999</v>
      </c>
      <c r="AM109" s="4">
        <v>10.3</v>
      </c>
      <c r="AN109" s="4">
        <v>10.02</v>
      </c>
      <c r="AO109" s="4">
        <v>9.66</v>
      </c>
      <c r="AP109" s="4">
        <v>9.6999999999999993</v>
      </c>
      <c r="AQ109" s="4">
        <v>9.2100000000000009</v>
      </c>
      <c r="AR109" s="4">
        <v>8.18</v>
      </c>
      <c r="AS109" s="4">
        <v>8.4700000000000006</v>
      </c>
      <c r="AT109" s="4">
        <v>8.4</v>
      </c>
      <c r="AU109" s="4">
        <v>8.4450000000000003</v>
      </c>
      <c r="AV109" s="4">
        <v>8.01</v>
      </c>
      <c r="AW109" s="4">
        <v>8.5500000000000007</v>
      </c>
      <c r="AX109" s="4">
        <v>8.1999999999999993</v>
      </c>
      <c r="AY109" s="12">
        <v>8.74</v>
      </c>
      <c r="AZ109" s="12">
        <v>9.67</v>
      </c>
      <c r="BA109" s="12">
        <v>9.23</v>
      </c>
      <c r="BB109" s="18">
        <v>9.41</v>
      </c>
      <c r="BC109" s="63">
        <v>9.08</v>
      </c>
      <c r="BD109" s="63">
        <v>9.33</v>
      </c>
      <c r="BE109" s="63">
        <v>9.4600000000000009</v>
      </c>
      <c r="BF109" s="63">
        <v>9.36</v>
      </c>
      <c r="BG109" s="91" cm="1">
        <f t="array" aca="1" ref="BG109" ca="1">_FV(EE109,"Preço")</f>
        <v>9.5</v>
      </c>
      <c r="BH109" s="93" t="s">
        <v>107</v>
      </c>
      <c r="BI109" s="32" cm="1">
        <f t="array" aca="1" ref="BI109" ca="1">_FV(EE109,"Beta")</f>
        <v>1.2236</v>
      </c>
      <c r="BJ109" s="96" cm="1">
        <f t="array" aca="1" ref="BJ109" ca="1">_FV(EE109,"Variação (%)",TRUE)</f>
        <v>-8.350999999999999E-3</v>
      </c>
      <c r="BK109" s="49"/>
      <c r="BL109" s="49"/>
      <c r="BN109" s="32"/>
      <c r="BO109" s="20" cm="1">
        <f t="array" aca="1" ref="BO109" ca="1">_FV(EE109,"Baixo")</f>
        <v>9.4</v>
      </c>
      <c r="BP109" s="20" cm="1">
        <f t="array" aca="1" ref="BP109" ca="1">_FV(EE109,"Alto")</f>
        <v>9.61</v>
      </c>
      <c r="BQ109" s="32"/>
      <c r="BR109" s="74">
        <f ca="1">SQRT(22.5*(BG109/VLOOKUP(BH109,Fundamentus!A:U,3,FALSE))*(BG109/VLOOKUP(BH109,Fundamentus!A:U,4,FALSE)))</f>
        <v>14.323091025819645</v>
      </c>
      <c r="BT109" s="73">
        <f t="shared" ca="1" si="99"/>
        <v>1.4957264957265019E-2</v>
      </c>
      <c r="BU109" s="36">
        <f t="shared" si="100"/>
        <v>-0.30081300813008122</v>
      </c>
      <c r="BV109" s="8"/>
      <c r="BW109" s="72">
        <f t="shared" si="101"/>
        <v>8.01</v>
      </c>
      <c r="BX109" s="72">
        <f t="shared" si="102"/>
        <v>12.366465517241382</v>
      </c>
      <c r="BY109" s="72">
        <f t="shared" si="103"/>
        <v>17.14</v>
      </c>
      <c r="BZ109" s="17"/>
      <c r="CA109" s="17"/>
      <c r="CB109" s="43">
        <f t="shared" si="104"/>
        <v>9.2687706322889145</v>
      </c>
      <c r="CC109" s="18">
        <f t="shared" si="105"/>
        <v>9.5485473289596712</v>
      </c>
      <c r="CD109" s="43">
        <f t="shared" si="106"/>
        <v>9.8283240256304278</v>
      </c>
      <c r="CE109" s="98">
        <f t="shared" ca="1" si="107"/>
        <v>-0.17352170333472069</v>
      </c>
      <c r="CF109" s="17"/>
      <c r="CG109" s="20">
        <f t="shared" si="108"/>
        <v>-3.2633333333333372</v>
      </c>
      <c r="CH109" s="20">
        <f t="shared" si="109"/>
        <v>2.3733333333333313</v>
      </c>
      <c r="CI109" s="20">
        <f t="shared" si="110"/>
        <v>5.8666666666666636</v>
      </c>
      <c r="CJ109" s="49">
        <f t="shared" si="111"/>
        <v>11.503333333333332</v>
      </c>
      <c r="CK109" s="20">
        <f t="shared" si="112"/>
        <v>14.996666666666664</v>
      </c>
      <c r="CL109" s="20">
        <f t="shared" si="113"/>
        <v>20.633333333333333</v>
      </c>
      <c r="CM109" s="20">
        <f t="shared" si="114"/>
        <v>24.126666666666665</v>
      </c>
      <c r="CN109" s="2" cm="1">
        <f t="array" aca="1" ref="CN109" ca="1">MAX(_xlfn._xlws.FILTER(CG109:CM109,CG109:CM109&lt;BG109))</f>
        <v>5.8666666666666636</v>
      </c>
      <c r="CO109" s="2" cm="1">
        <f t="array" aca="1" ref="CO109" ca="1">MIN(_xlfn._xlws.FILTER($CG109:$CM109,$CG109:$CM109&gt;BG109))</f>
        <v>11.503333333333332</v>
      </c>
      <c r="CP109" s="19">
        <f t="shared" ca="1" si="124"/>
        <v>0.96079545454545534</v>
      </c>
      <c r="CQ109" s="23">
        <f t="shared" ca="1" si="125"/>
        <v>-0.48039772727272767</v>
      </c>
      <c r="CR109" s="23">
        <f t="shared" ca="1" si="126"/>
        <v>-0.32026515151515178</v>
      </c>
      <c r="CS109" s="23">
        <f t="shared" ca="1" si="127"/>
        <v>-0.19215909090909106</v>
      </c>
      <c r="CT109" s="23">
        <f t="shared" ca="1" si="128"/>
        <v>-0.10675505050505059</v>
      </c>
      <c r="CU109" s="23">
        <f t="shared" ca="1" si="129"/>
        <v>-5.6517379679144435E-2</v>
      </c>
      <c r="CV109" s="23">
        <f t="shared" ca="1" si="130"/>
        <v>-2.9115013774104706E-2</v>
      </c>
      <c r="CW109" s="23">
        <f t="shared" ca="1" si="131"/>
        <v>-1.4781468531468544E-2</v>
      </c>
      <c r="CX109" s="24">
        <f t="shared" ca="1" si="132"/>
        <v>1.4781468531468544E-2</v>
      </c>
      <c r="CY109" s="24">
        <f t="shared" ca="1" si="133"/>
        <v>2.9115013774104706E-2</v>
      </c>
      <c r="CZ109" s="24">
        <f t="shared" ca="1" si="134"/>
        <v>5.6517379679144435E-2</v>
      </c>
      <c r="DA109" s="24">
        <f t="shared" ca="1" si="135"/>
        <v>0.10675505050505059</v>
      </c>
      <c r="DB109" s="24">
        <f t="shared" ca="1" si="136"/>
        <v>0.19215909090909106</v>
      </c>
      <c r="DC109" s="24">
        <f t="shared" ca="1" si="137"/>
        <v>0.32026515151515178</v>
      </c>
      <c r="DD109" s="24">
        <f t="shared" ca="1" si="138"/>
        <v>0.48039772727272767</v>
      </c>
      <c r="DF109" s="19" cm="1">
        <f t="array" aca="1" ref="DF109" ca="1">MAX(_xlfn._xlws.FILTER(CQ109:DD109,CQ109:DD109&lt;BJ109))</f>
        <v>-1.4781468531468544E-2</v>
      </c>
      <c r="DG109" s="19" cm="1">
        <f t="array" aca="1" ref="DG109" ca="1">MIN(_xlfn._xlws.FILTER(CQ109:DD109,CQ109:DD109&gt;BJ109))</f>
        <v>1.4781468531468544E-2</v>
      </c>
      <c r="DH109" s="2" cm="1">
        <f t="array" aca="1" ref="DH109" ca="1">_FV(EE109,"Fechamento anterior",TRUE)</f>
        <v>9.58</v>
      </c>
      <c r="DI109" s="36">
        <f t="shared" ca="1" si="115"/>
        <v>0.21752702814482749</v>
      </c>
      <c r="DJ109" s="18">
        <f t="shared" ca="1" si="139"/>
        <v>9.438393531468531</v>
      </c>
      <c r="DK109" s="18">
        <f t="shared" ca="1" si="140"/>
        <v>9.7216064685314691</v>
      </c>
      <c r="DL109" s="9"/>
      <c r="DM109" s="9"/>
      <c r="DN109" s="9"/>
      <c r="DO109" s="9"/>
      <c r="DP109" s="79">
        <v>1.400736926157581E-2</v>
      </c>
      <c r="DQ109" s="79">
        <v>7.3269316137473473E-3</v>
      </c>
      <c r="DR109" s="79">
        <v>1.400736926157581E-2</v>
      </c>
      <c r="DS109" s="79">
        <f t="shared" ca="1" si="116"/>
        <v>2.9562937062937087E-2</v>
      </c>
      <c r="DT109" s="47"/>
      <c r="DU109" s="43">
        <f t="shared" si="117"/>
        <v>0.13988834833537797</v>
      </c>
      <c r="DV109" s="83">
        <f t="shared" ca="1" si="118"/>
        <v>1.6496999999999999</v>
      </c>
      <c r="DW109" s="83">
        <f t="shared" ca="1" si="119"/>
        <v>2.0587</v>
      </c>
      <c r="DX109" s="83">
        <f t="shared" ca="1" si="120"/>
        <v>-0.40900000000000003</v>
      </c>
      <c r="DY109" s="67"/>
      <c r="DZ109" s="67"/>
      <c r="EA109" s="85"/>
      <c r="EB109" s="44">
        <v>218000</v>
      </c>
      <c r="EC109" s="44" cm="1">
        <f t="array" aca="1" ref="EC109" ca="1">_FV(EE109,"Volume")</f>
        <v>56900</v>
      </c>
      <c r="EE109" s="2" t="e" vm="109">
        <v>#VALUE!</v>
      </c>
      <c r="EG109" s="10" cm="1">
        <f t="array" aca="1" ref="EG109" ca="1">_FV(EE109,"Ações em circulação",TRUE)</f>
        <v>115866300</v>
      </c>
      <c r="EH109" s="21">
        <f>VLOOKUP(BH109,Fundamentus!A:U,5,FALSE)</f>
        <v>0.95599999999999996</v>
      </c>
      <c r="EI109" s="2">
        <f t="shared" ca="1" si="121"/>
        <v>1151391056.4853556</v>
      </c>
      <c r="EJ109" s="20">
        <v>99035144.337238505</v>
      </c>
      <c r="EK109" s="20">
        <f t="shared" ca="1" si="122"/>
        <v>100516439.23117155</v>
      </c>
      <c r="EM109" s="40" t="str">
        <f>IF(VLOOKUP(BH109,Fundamentus!A:U,3,FALSE)&lt;15,"Bom",IF(VLOOKUP(BH109,Fundamentus!A:U,3,FALSE)&gt;15,"Ruim","n/a"))</f>
        <v>Bom</v>
      </c>
      <c r="EN109" s="36" t="str">
        <f>IF(VLOOKUP(BH109,Fundamentus!A:U,4,FALSE)&lt;1,"Baixo",IF(VLOOKUP(BH109,Fundamentus!A:U,4,FALSE)&lt;1.5,"Moderado",IF(VLOOKUP(BH109,Fundamentus!A:U,4,FALSE)&gt;1.5,"Alto","n/a")))</f>
        <v>Baixo</v>
      </c>
      <c r="EO109" s="20" t="str">
        <f>IF(VLOOKUP(BH109,Fundamentus!A:U,8,FALSE)&lt;0,"Risco elevado",IF(VLOOKUP(BH109,Fundamentus!A:U,8,FALSE)&lt;1,"Saudável",IF(VLOOKUP(BH109,Fundamentus!A:U,8,FALSE)&lt;3,"Estável",IF(VLOOKUP(BH109,Fundamentus!A:U,8,FALSE)&gt;3,"Alerta","n/a"))))</f>
        <v>Alerta</v>
      </c>
      <c r="EP109" s="36" t="str">
        <f t="shared" si="123"/>
        <v>Ruim</v>
      </c>
      <c r="EQ109" s="20" t="str">
        <f>IF(VLOOKUP(BH109,Fundamentus!A:U,12,FALSE)&lt;2,"Subvalorizada",IF(VLOOKUP(BH109,Fundamentus!A:U,12,FALSE)&lt;6,"Muita barata",IF(VLOOKUP(BH109,Fundamentus!A:U,12,FALSE)&lt;6,"Barata",IF(VLOOKUP(BH109,Fundamentus!A:U,12,FALSE)&lt;8,"Atrativa",IF(VLOOKUP(BH109,Fundamentus!A:U,12,FALSE)&gt;8,"Supervalorizada","n/a")))))</f>
        <v>Muita barata</v>
      </c>
      <c r="ES109" s="20" t="str">
        <f>IF(VLOOKUP(BH109,Fundamentus!A:U,17,FALSE)&lt;0.1,"Fraco retorno",IF(VLOOKUP(BH109,Fundamentus!A:U,17,FALSE)&gt;0.1,"Bom retorno","n/a"))</f>
        <v>Fraco retorno</v>
      </c>
      <c r="ET109" s="20" t="str">
        <f>IF(VLOOKUP(BH109,Fundamentus!A:U,16,FALSE)&lt;0.1,"Ineficiente",IF(VLOOKUP(BH109,Fundamentus!A:U,16,FALSE)&gt;0.1,"Eficiente","n/a"))</f>
        <v>Eficiente</v>
      </c>
      <c r="EU109" s="41" t="str">
        <f>IF(VLOOKUP(BH109,Fundamentus!A:U,16,FALSE)&lt;0.1,"Oper. Ineficiente",IF(VLOOKUP(BH109,Fundamentus!A:U,16,FALSE)&gt;0.1,"Oper.Eficiente","n/a"))</f>
        <v>Oper.Eficiente</v>
      </c>
      <c r="EV109" s="42">
        <f>VLOOKUP(BH109,Fundamentus!A:U,14,FALSE)</f>
        <v>8.7300000000000003E-2</v>
      </c>
      <c r="EW109" s="20" t="str">
        <f>IF(VLOOKUP(BH109,Fundamentus!A:U,21,FALSE)&lt;0,"Negativo",IF(VLOOKUP(BH109,Fundamentus!A:U,21,FALSE)&lt;0.05,"Fraco",IF(VLOOKUP(BH109,Fundamentus!A:U,21,FALSE)&lt;0.1,"Bom",IF(VLOOKUP(BH109,Fundamentus!A:U,21,FALSE)&gt;0.1,"Muito bom","n/a"))))</f>
        <v>Muito bom</v>
      </c>
      <c r="EY109" s="37" t="str">
        <f>IF(VLOOKUP(BH109,Fundamentus!A:U,15,FALSE)&gt;1,"Bom",IF(VLOOKUP(BH109,Fundamentus!A:U,15,FALSE)&lt;1,"Ruim","n/a"))</f>
        <v>Bom</v>
      </c>
      <c r="EZ109" s="20" t="str">
        <f>IF(VLOOKUP(BH109,Fundamentus!A:U,20,FALSE)&lt;0.5,"Baixa",IF(VLOOKUP(BH109,Fundamentus!A:U,20,FALSE)&lt;1,"Moderada",IF(VLOOKUP(BH109,Fundamentus!A:U,20,FALSE)&lt;2,"Alerta",IF(VLOOKUP(BH109,Fundamentus!A:U,20,FALSE)&gt;2,"Alta","n/a"))))</f>
        <v>Alerta</v>
      </c>
      <c r="FA109" s="10"/>
    </row>
    <row r="110" spans="1:157" s="2" customFormat="1" ht="11.25" hidden="1" x14ac:dyDescent="0.2">
      <c r="A110" s="4">
        <v>2.97</v>
      </c>
      <c r="B110" s="4">
        <v>2.99</v>
      </c>
      <c r="C110" s="4">
        <v>2.95</v>
      </c>
      <c r="D110" s="4">
        <v>2.9</v>
      </c>
      <c r="E110" s="4">
        <v>2.86</v>
      </c>
      <c r="F110" s="4">
        <v>2.87</v>
      </c>
      <c r="G110" s="4">
        <v>2.67</v>
      </c>
      <c r="H110" s="4">
        <v>2.63</v>
      </c>
      <c r="I110" s="4">
        <v>2.62</v>
      </c>
      <c r="J110" s="4">
        <v>2.73</v>
      </c>
      <c r="K110" s="4">
        <v>2.72</v>
      </c>
      <c r="L110" s="4">
        <v>2.65</v>
      </c>
      <c r="M110" s="4">
        <v>2.63</v>
      </c>
      <c r="N110" s="4">
        <v>2.63</v>
      </c>
      <c r="O110" s="4">
        <v>2.85</v>
      </c>
      <c r="P110" s="4">
        <v>2.86</v>
      </c>
      <c r="Q110" s="4">
        <v>2.9</v>
      </c>
      <c r="R110" s="4">
        <v>2.78</v>
      </c>
      <c r="S110" s="4">
        <v>2.71</v>
      </c>
      <c r="T110" s="4">
        <v>2.72</v>
      </c>
      <c r="U110" s="4">
        <v>2.62</v>
      </c>
      <c r="V110" s="4">
        <v>2.65</v>
      </c>
      <c r="W110" s="4">
        <v>2.66</v>
      </c>
      <c r="X110" s="4">
        <v>2.57</v>
      </c>
      <c r="Y110" s="4">
        <v>2.56</v>
      </c>
      <c r="Z110" s="4">
        <v>2.5499999999999998</v>
      </c>
      <c r="AA110" s="4">
        <v>2.48</v>
      </c>
      <c r="AB110" s="4">
        <v>2.48</v>
      </c>
      <c r="AC110" s="4">
        <v>2.41</v>
      </c>
      <c r="AD110" s="4">
        <v>2.38</v>
      </c>
      <c r="AE110" s="4">
        <v>2.34</v>
      </c>
      <c r="AF110" s="4">
        <v>2.3199999999999998</v>
      </c>
      <c r="AG110" s="4">
        <v>2.2200000000000002</v>
      </c>
      <c r="AH110" s="4">
        <v>2.1</v>
      </c>
      <c r="AI110" s="4">
        <v>2.15</v>
      </c>
      <c r="AJ110" s="4">
        <v>2.12</v>
      </c>
      <c r="AK110" s="4">
        <v>2.06</v>
      </c>
      <c r="AL110" s="4">
        <v>2.1</v>
      </c>
      <c r="AM110" s="4">
        <v>2.0499999999999998</v>
      </c>
      <c r="AN110" s="4">
        <v>2.1800000000000002</v>
      </c>
      <c r="AO110" s="4">
        <v>2.33</v>
      </c>
      <c r="AP110" s="4">
        <v>2.41</v>
      </c>
      <c r="AQ110" s="4">
        <v>2.35</v>
      </c>
      <c r="AR110" s="4">
        <v>2.08</v>
      </c>
      <c r="AS110" s="4">
        <v>2.13</v>
      </c>
      <c r="AT110" s="4">
        <v>2.19</v>
      </c>
      <c r="AU110" s="4">
        <v>2.21</v>
      </c>
      <c r="AV110" s="4">
        <v>2.17</v>
      </c>
      <c r="AW110" s="4">
        <v>2.13</v>
      </c>
      <c r="AX110" s="4">
        <v>2.21</v>
      </c>
      <c r="AY110" s="12">
        <v>2.2400000000000002</v>
      </c>
      <c r="AZ110" s="12">
        <v>2.35</v>
      </c>
      <c r="BA110" s="12">
        <v>2.3199999999999998</v>
      </c>
      <c r="BB110" s="18">
        <v>2.4700000000000002</v>
      </c>
      <c r="BC110" s="63">
        <v>2.52</v>
      </c>
      <c r="BD110" s="63">
        <v>2.58</v>
      </c>
      <c r="BE110" s="63">
        <v>2.72</v>
      </c>
      <c r="BF110" s="63">
        <v>2.69</v>
      </c>
      <c r="BG110" s="91" cm="1">
        <f t="array" aca="1" ref="BG110" ca="1">_FV(EE110,"Preço")</f>
        <v>2.65</v>
      </c>
      <c r="BH110" s="93" t="s">
        <v>108</v>
      </c>
      <c r="BI110" s="32" cm="1">
        <f t="array" aca="1" ref="BI110" ca="1">_FV(EE110,"Beta")</f>
        <v>1.02</v>
      </c>
      <c r="BJ110" s="96" cm="1">
        <f t="array" aca="1" ref="BJ110" ca="1">_FV(EE110,"Variação (%)",TRUE)</f>
        <v>3.7880000000000001E-3</v>
      </c>
      <c r="BK110" s="49"/>
      <c r="BL110" s="49"/>
      <c r="BN110" s="32"/>
      <c r="BO110" s="20" cm="1">
        <f t="array" aca="1" ref="BO110" ca="1">_FV(EE110,"Baixo")</f>
        <v>2.57</v>
      </c>
      <c r="BP110" s="20" cm="1">
        <f t="array" aca="1" ref="BP110" ca="1">_FV(EE110,"Alto")</f>
        <v>2.65</v>
      </c>
      <c r="BQ110" s="32"/>
      <c r="BR110" s="74">
        <f ca="1">SQRT(22.5*(BG110/VLOOKUP(BH110,Fundamentus!A:U,3,FALSE))*(BG110/VLOOKUP(BH110,Fundamentus!A:U,4,FALSE)))</f>
        <v>3.0987052786366052</v>
      </c>
      <c r="BT110" s="73">
        <f t="shared" ca="1" si="99"/>
        <v>-1.4869888475836444E-2</v>
      </c>
      <c r="BU110" s="36">
        <f t="shared" si="100"/>
        <v>-8.4175084175084167E-2</v>
      </c>
      <c r="BV110" s="8"/>
      <c r="BW110" s="72">
        <f t="shared" si="101"/>
        <v>2.0499999999999998</v>
      </c>
      <c r="BX110" s="72">
        <f t="shared" si="102"/>
        <v>2.4955172413793099</v>
      </c>
      <c r="BY110" s="72">
        <f t="shared" si="103"/>
        <v>2.99</v>
      </c>
      <c r="BZ110" s="17"/>
      <c r="CA110" s="17"/>
      <c r="CB110" s="43">
        <f t="shared" si="104"/>
        <v>2.6239399630962215</v>
      </c>
      <c r="CC110" s="18">
        <f t="shared" si="105"/>
        <v>2.7860356138706948</v>
      </c>
      <c r="CD110" s="43">
        <f t="shared" si="106"/>
        <v>2.9481312646451681</v>
      </c>
      <c r="CE110" s="98">
        <f t="shared" ca="1" si="107"/>
        <v>-0.83923049891057067</v>
      </c>
      <c r="CF110" s="17"/>
      <c r="CG110" s="20">
        <f t="shared" si="108"/>
        <v>1.2233333333333327</v>
      </c>
      <c r="CH110" s="20">
        <f t="shared" si="109"/>
        <v>1.6366666666666663</v>
      </c>
      <c r="CI110" s="20">
        <f t="shared" si="110"/>
        <v>2.1633333333333331</v>
      </c>
      <c r="CJ110" s="49">
        <f t="shared" si="111"/>
        <v>2.5766666666666667</v>
      </c>
      <c r="CK110" s="20">
        <f t="shared" si="112"/>
        <v>3.1033333333333335</v>
      </c>
      <c r="CL110" s="20">
        <f t="shared" si="113"/>
        <v>3.5166666666666671</v>
      </c>
      <c r="CM110" s="20">
        <f t="shared" si="114"/>
        <v>4.0433333333333339</v>
      </c>
      <c r="CN110" s="2" cm="1">
        <f t="array" aca="1" ref="CN110" ca="1">MAX(_xlfn._xlws.FILTER(CG110:CM110,CG110:CM110&lt;BG110))</f>
        <v>2.5766666666666667</v>
      </c>
      <c r="CO110" s="2" cm="1">
        <f t="array" aca="1" ref="CO110" ca="1">MIN(_xlfn._xlws.FILTER($CG110:$CM110,$CG110:$CM110&gt;BG110))</f>
        <v>3.1033333333333335</v>
      </c>
      <c r="CP110" s="19">
        <f t="shared" ca="1" si="124"/>
        <v>0.2043984476067271</v>
      </c>
      <c r="CQ110" s="23">
        <f t="shared" ca="1" si="125"/>
        <v>-0.10219922380336355</v>
      </c>
      <c r="CR110" s="23">
        <f t="shared" ca="1" si="126"/>
        <v>-6.8132815868909027E-2</v>
      </c>
      <c r="CS110" s="23">
        <f t="shared" ca="1" si="127"/>
        <v>-4.0879689521345422E-2</v>
      </c>
      <c r="CT110" s="23">
        <f t="shared" ca="1" si="128"/>
        <v>-2.2710938622969676E-2</v>
      </c>
      <c r="CU110" s="23">
        <f t="shared" ca="1" si="129"/>
        <v>-1.2023438094513358E-2</v>
      </c>
      <c r="CV110" s="23">
        <f t="shared" ca="1" si="130"/>
        <v>-6.1938923517190032E-3</v>
      </c>
      <c r="CW110" s="23">
        <f t="shared" ca="1" si="131"/>
        <v>-3.1445915016419554E-3</v>
      </c>
      <c r="CX110" s="24">
        <f t="shared" ca="1" si="132"/>
        <v>3.1445915016419554E-3</v>
      </c>
      <c r="CY110" s="24">
        <f t="shared" ca="1" si="133"/>
        <v>6.1938923517190032E-3</v>
      </c>
      <c r="CZ110" s="24">
        <f t="shared" ca="1" si="134"/>
        <v>1.2023438094513358E-2</v>
      </c>
      <c r="DA110" s="24">
        <f t="shared" ca="1" si="135"/>
        <v>2.2710938622969676E-2</v>
      </c>
      <c r="DB110" s="24">
        <f t="shared" ca="1" si="136"/>
        <v>4.0879689521345422E-2</v>
      </c>
      <c r="DC110" s="24">
        <f t="shared" ca="1" si="137"/>
        <v>6.8132815868909027E-2</v>
      </c>
      <c r="DD110" s="24">
        <f t="shared" ca="1" si="138"/>
        <v>0.10219922380336355</v>
      </c>
      <c r="DF110" s="19" cm="1">
        <f t="array" aca="1" ref="DF110" ca="1">MAX(_xlfn._xlws.FILTER(CQ110:DD110,CQ110:DD110&lt;BJ110))</f>
        <v>3.1445915016419554E-3</v>
      </c>
      <c r="DG110" s="19" cm="1">
        <f t="array" aca="1" ref="DG110" ca="1">MIN(_xlfn._xlws.FILTER(CQ110:DD110,CQ110:DD110&gt;BJ110))</f>
        <v>6.1938923517190032E-3</v>
      </c>
      <c r="DH110" s="2" cm="1">
        <f t="array" aca="1" ref="DH110" ca="1">_FV(EE110,"Fechamento anterior",TRUE)</f>
        <v>2.64</v>
      </c>
      <c r="DI110" s="36">
        <f t="shared" ca="1" si="115"/>
        <v>0.21096222310122614</v>
      </c>
      <c r="DJ110" s="18">
        <f t="shared" ca="1" si="139"/>
        <v>2.648301721564335</v>
      </c>
      <c r="DK110" s="18">
        <f t="shared" ca="1" si="140"/>
        <v>2.6563518758085385</v>
      </c>
      <c r="DL110" s="9"/>
      <c r="DM110" s="9"/>
      <c r="DN110" s="9"/>
      <c r="DO110" s="9"/>
      <c r="DP110" s="79">
        <v>2.2695035460992941E-2</v>
      </c>
      <c r="DQ110" s="79">
        <v>3.4642012170102081E-3</v>
      </c>
      <c r="DR110" s="79">
        <v>3.4642012170102081E-3</v>
      </c>
      <c r="DS110" s="79">
        <f t="shared" ca="1" si="116"/>
        <v>3.0493008500770478E-3</v>
      </c>
      <c r="DT110" s="47"/>
      <c r="DU110" s="43">
        <f t="shared" si="117"/>
        <v>8.1047825387236677E-2</v>
      </c>
      <c r="DV110" s="83">
        <f t="shared" ca="1" si="118"/>
        <v>1.4460999999999999</v>
      </c>
      <c r="DW110" s="83">
        <f t="shared" ca="1" si="119"/>
        <v>0.64119999999999999</v>
      </c>
      <c r="DX110" s="83">
        <f t="shared" ca="1" si="120"/>
        <v>0.80489999999999995</v>
      </c>
      <c r="DY110" s="67"/>
      <c r="DZ110" s="67"/>
      <c r="EA110" s="85"/>
      <c r="EB110" s="44">
        <v>27700</v>
      </c>
      <c r="EC110" s="44" cm="1">
        <f t="array" aca="1" ref="EC110" ca="1">_FV(EE110,"Volume")</f>
        <v>11200</v>
      </c>
      <c r="EE110" s="2" t="e" vm="110">
        <v>#VALUE!</v>
      </c>
      <c r="EG110" s="10" cm="1">
        <f t="array" aca="1" ref="EG110" ca="1">_FV(EE110,"Ações em circulação",TRUE)</f>
        <v>1206361000</v>
      </c>
      <c r="EH110" s="21">
        <f>VLOOKUP(BH110,Fundamentus!A:U,5,FALSE)</f>
        <v>4.3879999999999999</v>
      </c>
      <c r="EI110" s="2">
        <f t="shared" ca="1" si="121"/>
        <v>728545271.19416595</v>
      </c>
      <c r="EJ110" s="20">
        <v>248486172.79854149</v>
      </c>
      <c r="EK110" s="20">
        <f t="shared" ca="1" si="122"/>
        <v>244791211.12123978</v>
      </c>
      <c r="EM110" s="40" t="str">
        <f>IF(VLOOKUP(BH110,Fundamentus!A:U,3,FALSE)&lt;15,"Bom",IF(VLOOKUP(BH110,Fundamentus!A:U,3,FALSE)&gt;15,"Ruim","n/a"))</f>
        <v>Bom</v>
      </c>
      <c r="EN110" s="36" t="str">
        <f>IF(VLOOKUP(BH110,Fundamentus!A:U,4,FALSE)&lt;1,"Baixo",IF(VLOOKUP(BH110,Fundamentus!A:U,4,FALSE)&lt;1.5,"Moderado",IF(VLOOKUP(BH110,Fundamentus!A:U,4,FALSE)&gt;1.5,"Alto","n/a")))</f>
        <v>Moderado</v>
      </c>
      <c r="EO110" s="20" t="str">
        <f>IF(VLOOKUP(BH110,Fundamentus!A:U,8,FALSE)&lt;0,"Risco elevado",IF(VLOOKUP(BH110,Fundamentus!A:U,8,FALSE)&lt;1,"Saudável",IF(VLOOKUP(BH110,Fundamentus!A:U,8,FALSE)&lt;3,"Estável",IF(VLOOKUP(BH110,Fundamentus!A:U,8,FALSE)&gt;3,"Alerta","n/a"))))</f>
        <v>Estável</v>
      </c>
      <c r="EP110" s="36" t="str">
        <f t="shared" si="123"/>
        <v>Bom</v>
      </c>
      <c r="EQ110" s="20" t="str">
        <f>IF(VLOOKUP(BH110,Fundamentus!A:U,12,FALSE)&lt;2,"Subvalorizada",IF(VLOOKUP(BH110,Fundamentus!A:U,12,FALSE)&lt;6,"Muita barata",IF(VLOOKUP(BH110,Fundamentus!A:U,12,FALSE)&lt;6,"Barata",IF(VLOOKUP(BH110,Fundamentus!A:U,12,FALSE)&lt;8,"Atrativa",IF(VLOOKUP(BH110,Fundamentus!A:U,12,FALSE)&gt;8,"Supervalorizada","n/a")))))</f>
        <v>Supervalorizada</v>
      </c>
      <c r="ES110" s="20" t="str">
        <f>IF(VLOOKUP(BH110,Fundamentus!A:U,17,FALSE)&lt;0.1,"Fraco retorno",IF(VLOOKUP(BH110,Fundamentus!A:U,17,FALSE)&gt;0.1,"Bom retorno","n/a"))</f>
        <v>Fraco retorno</v>
      </c>
      <c r="ET110" s="20" t="str">
        <f>IF(VLOOKUP(BH110,Fundamentus!A:U,16,FALSE)&lt;0.1,"Ineficiente",IF(VLOOKUP(BH110,Fundamentus!A:U,16,FALSE)&gt;0.1,"Eficiente","n/a"))</f>
        <v>Eficiente</v>
      </c>
      <c r="EU110" s="41" t="str">
        <f>IF(VLOOKUP(BH110,Fundamentus!A:U,16,FALSE)&lt;0.1,"Oper. Ineficiente",IF(VLOOKUP(BH110,Fundamentus!A:U,16,FALSE)&gt;0.1,"Oper.Eficiente","n/a"))</f>
        <v>Oper.Eficiente</v>
      </c>
      <c r="EV110" s="42">
        <f>VLOOKUP(BH110,Fundamentus!A:U,14,FALSE)</f>
        <v>0.33600000000000002</v>
      </c>
      <c r="EW110" s="20" t="str">
        <f>IF(VLOOKUP(BH110,Fundamentus!A:U,21,FALSE)&lt;0,"Negativo",IF(VLOOKUP(BH110,Fundamentus!A:U,21,FALSE)&lt;0.05,"Fraco",IF(VLOOKUP(BH110,Fundamentus!A:U,21,FALSE)&lt;0.1,"Bom",IF(VLOOKUP(BH110,Fundamentus!A:U,21,FALSE)&gt;0.1,"Muito bom","n/a"))))</f>
        <v>Muito bom</v>
      </c>
      <c r="EY110" s="37" t="str">
        <f>IF(VLOOKUP(BH110,Fundamentus!A:U,15,FALSE)&gt;1,"Bom",IF(VLOOKUP(BH110,Fundamentus!A:U,15,FALSE)&lt;1,"Ruim","n/a"))</f>
        <v>Bom</v>
      </c>
      <c r="EZ110" s="20" t="str">
        <f>IF(VLOOKUP(BH110,Fundamentus!A:U,20,FALSE)&lt;0.5,"Baixa",IF(VLOOKUP(BH110,Fundamentus!A:U,20,FALSE)&lt;1,"Moderada",IF(VLOOKUP(BH110,Fundamentus!A:U,20,FALSE)&lt;2,"Alerta",IF(VLOOKUP(BH110,Fundamentus!A:U,20,FALSE)&gt;2,"Alta","n/a"))))</f>
        <v>Moderada</v>
      </c>
      <c r="FA110" s="10"/>
    </row>
    <row r="111" spans="1:157"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63">
        <v>2.52</v>
      </c>
      <c r="BD111" s="63">
        <v>2.58</v>
      </c>
      <c r="BE111" s="63">
        <v>2.72</v>
      </c>
      <c r="BF111" s="63">
        <v>2.69</v>
      </c>
      <c r="BG111" s="91" cm="1">
        <f t="array" aca="1" ref="BG111" ca="1">_FV(EE111,"Preço")</f>
        <v>2.65</v>
      </c>
      <c r="BH111" s="93" t="s">
        <v>108</v>
      </c>
      <c r="BI111" s="32" cm="1">
        <f t="array" aca="1" ref="BI111" ca="1">_FV(EE111,"Beta")</f>
        <v>1.02</v>
      </c>
      <c r="BJ111" s="96" cm="1">
        <f t="array" aca="1" ref="BJ111" ca="1">_FV(EE111,"Variação (%)",TRUE)</f>
        <v>3.7880000000000001E-3</v>
      </c>
      <c r="BK111" s="49"/>
      <c r="BL111" s="49"/>
      <c r="BN111" s="32"/>
      <c r="BO111" s="20" cm="1">
        <f t="array" aca="1" ref="BO111" ca="1">_FV(EE111,"Baixo")</f>
        <v>2.57</v>
      </c>
      <c r="BP111" s="20" cm="1">
        <f t="array" aca="1" ref="BP111" ca="1">_FV(EE111,"Alto")</f>
        <v>2.65</v>
      </c>
      <c r="BQ111" s="32"/>
      <c r="BR111" s="74">
        <f ca="1">SQRT(22.5*(BG111/VLOOKUP(BH111,Fundamentus!A:U,3,FALSE))*(BG111/VLOOKUP(BH111,Fundamentus!A:U,4,FALSE)))</f>
        <v>3.0987052786366052</v>
      </c>
      <c r="BT111" s="73">
        <f t="shared" ca="1" si="99"/>
        <v>-1.4869888475836444E-2</v>
      </c>
      <c r="BU111" s="36">
        <f t="shared" si="100"/>
        <v>-8.4175084175084167E-2</v>
      </c>
      <c r="BV111" s="8"/>
      <c r="BW111" s="72">
        <f t="shared" si="101"/>
        <v>2.0499999999999998</v>
      </c>
      <c r="BX111" s="72">
        <f t="shared" si="102"/>
        <v>2.4955172413793099</v>
      </c>
      <c r="BY111" s="72">
        <f t="shared" si="103"/>
        <v>2.99</v>
      </c>
      <c r="BZ111" s="17"/>
      <c r="CA111" s="17"/>
      <c r="CB111" s="43">
        <f t="shared" si="104"/>
        <v>2.6239399630962215</v>
      </c>
      <c r="CC111" s="18">
        <f t="shared" si="105"/>
        <v>2.7860356138706948</v>
      </c>
      <c r="CD111" s="43">
        <f t="shared" si="106"/>
        <v>2.9481312646451681</v>
      </c>
      <c r="CE111" s="98">
        <f t="shared" ca="1" si="107"/>
        <v>-0.83923049891057067</v>
      </c>
      <c r="CF111" s="17"/>
      <c r="CG111" s="20">
        <f t="shared" si="108"/>
        <v>1.2233333333333327</v>
      </c>
      <c r="CH111" s="20">
        <f t="shared" si="109"/>
        <v>1.6366666666666663</v>
      </c>
      <c r="CI111" s="20">
        <f t="shared" si="110"/>
        <v>2.1633333333333331</v>
      </c>
      <c r="CJ111" s="49">
        <f t="shared" si="111"/>
        <v>2.5766666666666667</v>
      </c>
      <c r="CK111" s="20">
        <f t="shared" si="112"/>
        <v>3.1033333333333335</v>
      </c>
      <c r="CL111" s="20">
        <f t="shared" si="113"/>
        <v>3.5166666666666671</v>
      </c>
      <c r="CM111" s="20">
        <f t="shared" si="114"/>
        <v>4.0433333333333339</v>
      </c>
      <c r="CN111" s="2" cm="1">
        <f t="array" aca="1" ref="CN111" ca="1">MAX(_xlfn._xlws.FILTER(CG111:CM111,CG111:CM111&lt;BG111))</f>
        <v>2.5766666666666667</v>
      </c>
      <c r="CO111" s="2" cm="1">
        <f t="array" aca="1" ref="CO111" ca="1">MIN(_xlfn._xlws.FILTER($CG111:$CM111,$CG111:$CM111&gt;BG111))</f>
        <v>3.1033333333333335</v>
      </c>
      <c r="CP111" s="19">
        <f t="shared" ca="1" si="124"/>
        <v>0.2043984476067271</v>
      </c>
      <c r="CQ111" s="23">
        <f t="shared" ca="1" si="125"/>
        <v>-0.10219922380336355</v>
      </c>
      <c r="CR111" s="23">
        <f t="shared" ca="1" si="126"/>
        <v>-6.8132815868909027E-2</v>
      </c>
      <c r="CS111" s="23">
        <f t="shared" ca="1" si="127"/>
        <v>-4.0879689521345422E-2</v>
      </c>
      <c r="CT111" s="23">
        <f t="shared" ca="1" si="128"/>
        <v>-2.2710938622969676E-2</v>
      </c>
      <c r="CU111" s="23">
        <f t="shared" ca="1" si="129"/>
        <v>-1.2023438094513358E-2</v>
      </c>
      <c r="CV111" s="23">
        <f t="shared" ca="1" si="130"/>
        <v>-6.1938923517190032E-3</v>
      </c>
      <c r="CW111" s="23">
        <f t="shared" ca="1" si="131"/>
        <v>-3.1445915016419554E-3</v>
      </c>
      <c r="CX111" s="24">
        <f t="shared" ca="1" si="132"/>
        <v>3.1445915016419554E-3</v>
      </c>
      <c r="CY111" s="24">
        <f t="shared" ca="1" si="133"/>
        <v>6.1938923517190032E-3</v>
      </c>
      <c r="CZ111" s="24">
        <f t="shared" ca="1" si="134"/>
        <v>1.2023438094513358E-2</v>
      </c>
      <c r="DA111" s="24">
        <f t="shared" ca="1" si="135"/>
        <v>2.2710938622969676E-2</v>
      </c>
      <c r="DB111" s="24">
        <f t="shared" ca="1" si="136"/>
        <v>4.0879689521345422E-2</v>
      </c>
      <c r="DC111" s="24">
        <f t="shared" ca="1" si="137"/>
        <v>6.8132815868909027E-2</v>
      </c>
      <c r="DD111" s="24">
        <f t="shared" ca="1" si="138"/>
        <v>0.10219922380336355</v>
      </c>
      <c r="DF111" s="19" cm="1">
        <f t="array" aca="1" ref="DF111" ca="1">MAX(_xlfn._xlws.FILTER(CQ111:DD111,CQ111:DD111&lt;BJ111))</f>
        <v>3.1445915016419554E-3</v>
      </c>
      <c r="DG111" s="19" cm="1">
        <f t="array" aca="1" ref="DG111" ca="1">MIN(_xlfn._xlws.FILTER(CQ111:DD111,CQ111:DD111&gt;BJ111))</f>
        <v>6.1938923517190032E-3</v>
      </c>
      <c r="DH111" s="2" cm="1">
        <f t="array" aca="1" ref="DH111" ca="1">_FV(EE111,"Fechamento anterior",TRUE)</f>
        <v>2.64</v>
      </c>
      <c r="DI111" s="36">
        <f t="shared" ca="1" si="115"/>
        <v>0.21096222310122614</v>
      </c>
      <c r="DJ111" s="18">
        <f t="shared" ca="1" si="139"/>
        <v>2.648301721564335</v>
      </c>
      <c r="DK111" s="18">
        <f t="shared" ca="1" si="140"/>
        <v>2.6563518758085385</v>
      </c>
      <c r="DL111" s="9"/>
      <c r="DM111" s="9"/>
      <c r="DN111" s="9"/>
      <c r="DO111" s="9"/>
      <c r="DP111" s="79">
        <v>2.2695035460992941E-2</v>
      </c>
      <c r="DQ111" s="79">
        <v>3.4642012170102081E-3</v>
      </c>
      <c r="DR111" s="79">
        <v>3.4642012170102081E-3</v>
      </c>
      <c r="DS111" s="79">
        <f t="shared" ca="1" si="116"/>
        <v>3.0493008500770478E-3</v>
      </c>
      <c r="DT111" s="47"/>
      <c r="DU111" s="43">
        <f t="shared" si="117"/>
        <v>8.1047825387236677E-2</v>
      </c>
      <c r="DV111" s="83">
        <f t="shared" ca="1" si="118"/>
        <v>1.4460999999999999</v>
      </c>
      <c r="DW111" s="83">
        <f t="shared" ca="1" si="119"/>
        <v>0.64119999999999999</v>
      </c>
      <c r="DX111" s="83">
        <f t="shared" ca="1" si="120"/>
        <v>0.80489999999999995</v>
      </c>
      <c r="DY111" s="67"/>
      <c r="DZ111" s="67"/>
      <c r="EA111" s="85"/>
      <c r="EB111" s="44">
        <v>27700</v>
      </c>
      <c r="EC111" s="44" cm="1">
        <f t="array" aca="1" ref="EC111" ca="1">_FV(EE111,"Volume")</f>
        <v>11200</v>
      </c>
      <c r="EE111" s="2" t="e" vm="110">
        <v>#VALUE!</v>
      </c>
      <c r="EG111" s="10" cm="1">
        <f t="array" aca="1" ref="EG111" ca="1">_FV(EE111,"Ações em circulação",TRUE)</f>
        <v>1206361000</v>
      </c>
      <c r="EH111" s="21">
        <f>VLOOKUP(BH111,Fundamentus!A:U,5,FALSE)</f>
        <v>4.3879999999999999</v>
      </c>
      <c r="EI111" s="2">
        <f t="shared" ca="1" si="121"/>
        <v>728545271.19416595</v>
      </c>
      <c r="EJ111" s="20">
        <v>248486172.79854149</v>
      </c>
      <c r="EK111" s="20">
        <f t="shared" ca="1" si="122"/>
        <v>244791211.12123978</v>
      </c>
      <c r="EM111" s="40" t="str">
        <f>IF(VLOOKUP(BH111,Fundamentus!A:U,3,FALSE)&lt;15,"Bom",IF(VLOOKUP(BH111,Fundamentus!A:U,3,FALSE)&gt;15,"Ruim","n/a"))</f>
        <v>Bom</v>
      </c>
      <c r="EN111" s="36" t="str">
        <f>IF(VLOOKUP(BH111,Fundamentus!A:U,4,FALSE)&lt;1,"Baixo",IF(VLOOKUP(BH111,Fundamentus!A:U,4,FALSE)&lt;1.5,"Moderado",IF(VLOOKUP(BH111,Fundamentus!A:U,4,FALSE)&gt;1.5,"Alto","n/a")))</f>
        <v>Moderado</v>
      </c>
      <c r="EO111" s="20" t="str">
        <f>IF(VLOOKUP(BH111,Fundamentus!A:U,8,FALSE)&lt;0,"Risco elevado",IF(VLOOKUP(BH111,Fundamentus!A:U,8,FALSE)&lt;1,"Saudável",IF(VLOOKUP(BH111,Fundamentus!A:U,8,FALSE)&lt;3,"Estável",IF(VLOOKUP(BH111,Fundamentus!A:U,8,FALSE)&gt;3,"Alerta","n/a"))))</f>
        <v>Estável</v>
      </c>
      <c r="EP111" s="36" t="str">
        <f t="shared" si="123"/>
        <v>Bom</v>
      </c>
      <c r="EQ111" s="20" t="str">
        <f>IF(VLOOKUP(BH111,Fundamentus!A:U,12,FALSE)&lt;2,"Subvalorizada",IF(VLOOKUP(BH111,Fundamentus!A:U,12,FALSE)&lt;6,"Muita barata",IF(VLOOKUP(BH111,Fundamentus!A:U,12,FALSE)&lt;6,"Barata",IF(VLOOKUP(BH111,Fundamentus!A:U,12,FALSE)&lt;8,"Atrativa",IF(VLOOKUP(BH111,Fundamentus!A:U,12,FALSE)&gt;8,"Supervalorizada","n/a")))))</f>
        <v>Supervalorizada</v>
      </c>
      <c r="ES111" s="20" t="str">
        <f>IF(VLOOKUP(BH111,Fundamentus!A:U,17,FALSE)&lt;0.1,"Fraco retorno",IF(VLOOKUP(BH111,Fundamentus!A:U,17,FALSE)&gt;0.1,"Bom retorno","n/a"))</f>
        <v>Fraco retorno</v>
      </c>
      <c r="ET111" s="20" t="str">
        <f>IF(VLOOKUP(BH111,Fundamentus!A:U,16,FALSE)&lt;0.1,"Ineficiente",IF(VLOOKUP(BH111,Fundamentus!A:U,16,FALSE)&gt;0.1,"Eficiente","n/a"))</f>
        <v>Eficiente</v>
      </c>
      <c r="EU111" s="41" t="str">
        <f>IF(VLOOKUP(BH111,Fundamentus!A:U,16,FALSE)&lt;0.1,"Oper. Ineficiente",IF(VLOOKUP(BH111,Fundamentus!A:U,16,FALSE)&gt;0.1,"Oper.Eficiente","n/a"))</f>
        <v>Oper.Eficiente</v>
      </c>
      <c r="EV111" s="42">
        <f>VLOOKUP(BH111,Fundamentus!A:U,14,FALSE)</f>
        <v>0.33600000000000002</v>
      </c>
      <c r="EW111" s="20" t="str">
        <f>IF(VLOOKUP(BH111,Fundamentus!A:U,21,FALSE)&lt;0,"Negativo",IF(VLOOKUP(BH111,Fundamentus!A:U,21,FALSE)&lt;0.05,"Fraco",IF(VLOOKUP(BH111,Fundamentus!A:U,21,FALSE)&lt;0.1,"Bom",IF(VLOOKUP(BH111,Fundamentus!A:U,21,FALSE)&gt;0.1,"Muito bom","n/a"))))</f>
        <v>Muito bom</v>
      </c>
      <c r="EY111" s="37" t="str">
        <f>IF(VLOOKUP(BH111,Fundamentus!A:U,15,FALSE)&gt;1,"Bom",IF(VLOOKUP(BH111,Fundamentus!A:U,15,FALSE)&lt;1,"Ruim","n/a"))</f>
        <v>Bom</v>
      </c>
      <c r="EZ111" s="20" t="str">
        <f>IF(VLOOKUP(BH111,Fundamentus!A:U,20,FALSE)&lt;0.5,"Baixa",IF(VLOOKUP(BH111,Fundamentus!A:U,20,FALSE)&lt;1,"Moderada",IF(VLOOKUP(BH111,Fundamentus!A:U,20,FALSE)&lt;2,"Alerta",IF(VLOOKUP(BH111,Fundamentus!A:U,20,FALSE)&gt;2,"Alta","n/a"))))</f>
        <v>Moderada</v>
      </c>
      <c r="FA111" s="10"/>
    </row>
    <row r="112" spans="1:157" s="2" customFormat="1" ht="11.25" hidden="1" x14ac:dyDescent="0.2">
      <c r="A112" s="4">
        <v>10.25</v>
      </c>
      <c r="B112" s="4">
        <v>10.039999999999999</v>
      </c>
      <c r="C112" s="4">
        <v>9.89</v>
      </c>
      <c r="D112" s="4">
        <v>9.8800000000000008</v>
      </c>
      <c r="E112" s="4">
        <v>9.8800000000000008</v>
      </c>
      <c r="F112" s="4">
        <v>9.86</v>
      </c>
      <c r="G112" s="4">
        <v>9.8800000000000008</v>
      </c>
      <c r="H112" s="4">
        <v>9</v>
      </c>
      <c r="I112" s="4">
        <v>9.6</v>
      </c>
      <c r="J112" s="4">
        <v>9.8699999999999992</v>
      </c>
      <c r="K112" s="4">
        <v>10.06</v>
      </c>
      <c r="L112" s="4">
        <v>10.31</v>
      </c>
      <c r="M112" s="4">
        <v>10.57</v>
      </c>
      <c r="N112" s="4">
        <v>10.86</v>
      </c>
      <c r="O112" s="4">
        <v>11.5</v>
      </c>
      <c r="P112" s="4">
        <v>11.2</v>
      </c>
      <c r="Q112" s="4">
        <v>11.51</v>
      </c>
      <c r="R112" s="4">
        <v>11.17</v>
      </c>
      <c r="S112" s="4">
        <v>11.2</v>
      </c>
      <c r="T112" s="4">
        <v>11.07</v>
      </c>
      <c r="U112" s="4">
        <v>10.050000000000001</v>
      </c>
      <c r="V112" s="4">
        <v>9.99</v>
      </c>
      <c r="W112" s="4">
        <v>9.75</v>
      </c>
      <c r="X112" s="4">
        <v>9.41</v>
      </c>
      <c r="Y112" s="4">
        <v>9.15</v>
      </c>
      <c r="Z112" s="4">
        <v>9.4</v>
      </c>
      <c r="AA112" s="4">
        <v>9.89</v>
      </c>
      <c r="AB112" s="4">
        <v>9.9499999999999993</v>
      </c>
      <c r="AC112" s="4">
        <v>10.39</v>
      </c>
      <c r="AD112" s="4">
        <v>10.199999999999999</v>
      </c>
      <c r="AE112" s="4">
        <v>9.84</v>
      </c>
      <c r="AF112" s="4">
        <v>9.76</v>
      </c>
      <c r="AG112" s="4">
        <v>9.5500000000000007</v>
      </c>
      <c r="AH112" s="4">
        <v>9.4499999999999993</v>
      </c>
      <c r="AI112" s="4">
        <v>9.51</v>
      </c>
      <c r="AJ112" s="4">
        <v>9.11</v>
      </c>
      <c r="AK112" s="4">
        <v>9.42</v>
      </c>
      <c r="AL112" s="4">
        <v>9.49</v>
      </c>
      <c r="AM112" s="4">
        <v>9.9499999999999993</v>
      </c>
      <c r="AN112" s="4">
        <v>10.31</v>
      </c>
      <c r="AO112" s="4">
        <v>9.9499999999999993</v>
      </c>
      <c r="AP112" s="4">
        <v>9.9499999999999993</v>
      </c>
      <c r="AQ112" s="4">
        <v>9.61</v>
      </c>
      <c r="AR112" s="4">
        <v>7.83</v>
      </c>
      <c r="AS112" s="4">
        <v>7.62</v>
      </c>
      <c r="AT112" s="4">
        <v>7.81</v>
      </c>
      <c r="AU112" s="4">
        <v>7.86</v>
      </c>
      <c r="AV112" s="4">
        <v>7.8</v>
      </c>
      <c r="AW112" s="4">
        <v>7.51</v>
      </c>
      <c r="AX112" s="4">
        <v>7.43</v>
      </c>
      <c r="AY112" s="12">
        <v>7.55</v>
      </c>
      <c r="AZ112" s="12">
        <v>7.99</v>
      </c>
      <c r="BA112" s="12">
        <v>7.5</v>
      </c>
      <c r="BB112" s="18">
        <v>7.56</v>
      </c>
      <c r="BC112" s="63">
        <v>7.56</v>
      </c>
      <c r="BD112" s="63">
        <v>7.56</v>
      </c>
      <c r="BE112" s="63">
        <v>7.56</v>
      </c>
      <c r="BF112" s="63">
        <v>7.56</v>
      </c>
      <c r="BG112" s="91">
        <v>7.56</v>
      </c>
      <c r="BH112" s="93" t="s">
        <v>109</v>
      </c>
      <c r="BI112" s="32" cm="1">
        <f t="array" aca="1" ref="BI112" ca="1">_FV(EE112,"Beta")</f>
        <v>0.94059999999999999</v>
      </c>
      <c r="BJ112" s="96" cm="1">
        <f t="array" aca="1" ref="BJ112" ca="1">_FV(EE112,"Variação (%)",TRUE)</f>
        <v>-1.8713E-2</v>
      </c>
      <c r="BK112" s="49"/>
      <c r="BL112" s="49"/>
      <c r="BN112" s="32"/>
      <c r="BO112" s="20" cm="1">
        <f t="array" aca="1" ref="BO112" ca="1">_FV(EE112,"Baixo")</f>
        <v>8.36</v>
      </c>
      <c r="BP112" s="20" cm="1">
        <f t="array" aca="1" ref="BP112" ca="1">_FV(EE112,"Alto")</f>
        <v>8.57</v>
      </c>
      <c r="BQ112" s="32"/>
      <c r="BR112" s="74">
        <f>SQRT(22.5*(BG112/VLOOKUP(BH112,Fundamentus!A:U,3,FALSE))*(BG112/VLOOKUP(BH112,Fundamentus!A:U,4,FALSE)))</f>
        <v>8.6944682580277828</v>
      </c>
      <c r="BT112" s="73">
        <f t="shared" si="99"/>
        <v>0</v>
      </c>
      <c r="BU112" s="36">
        <f t="shared" si="100"/>
        <v>-0.26243902439024391</v>
      </c>
      <c r="BV112" s="8"/>
      <c r="BW112" s="72">
        <f t="shared" si="101"/>
        <v>7.43</v>
      </c>
      <c r="BX112" s="72">
        <f t="shared" si="102"/>
        <v>9.4203448275862005</v>
      </c>
      <c r="BY112" s="72">
        <f t="shared" si="103"/>
        <v>11.51</v>
      </c>
      <c r="BZ112" s="17"/>
      <c r="CA112" s="17"/>
      <c r="CB112" s="43">
        <f t="shared" si="104"/>
        <v>7.56</v>
      </c>
      <c r="CC112" s="18">
        <f t="shared" si="105"/>
        <v>7.56</v>
      </c>
      <c r="CD112" s="43">
        <f t="shared" si="106"/>
        <v>7.56</v>
      </c>
      <c r="CE112" s="98" t="e">
        <f t="shared" si="107"/>
        <v>#DIV/0!</v>
      </c>
      <c r="CF112" s="17"/>
      <c r="CG112" s="20">
        <f t="shared" si="108"/>
        <v>2.0766666666666644</v>
      </c>
      <c r="CH112" s="20">
        <f t="shared" si="109"/>
        <v>4.7533333333333321</v>
      </c>
      <c r="CI112" s="20">
        <f t="shared" si="110"/>
        <v>6.1566666666666645</v>
      </c>
      <c r="CJ112" s="49">
        <f t="shared" si="111"/>
        <v>8.8333333333333321</v>
      </c>
      <c r="CK112" s="20">
        <f t="shared" si="112"/>
        <v>10.236666666666665</v>
      </c>
      <c r="CL112" s="20">
        <f t="shared" si="113"/>
        <v>12.913333333333332</v>
      </c>
      <c r="CM112" s="20">
        <f t="shared" si="114"/>
        <v>14.316666666666665</v>
      </c>
      <c r="CN112" s="2" cm="1">
        <f t="array" ref="CN112">MAX(_xlfn._xlws.FILTER(CG112:CM112,CG112:CM112&lt;BG112))</f>
        <v>6.1566666666666645</v>
      </c>
      <c r="CO112" s="2" cm="1">
        <f t="array" ref="CO112">MIN(_xlfn._xlws.FILTER($CG112:$CM112,$CG112:$CM112&gt;BG112))</f>
        <v>8.8333333333333321</v>
      </c>
      <c r="CP112" s="19">
        <f t="shared" si="124"/>
        <v>0.43475906876015191</v>
      </c>
      <c r="CQ112" s="23">
        <f t="shared" si="125"/>
        <v>-0.21737953438007596</v>
      </c>
      <c r="CR112" s="23">
        <f t="shared" si="126"/>
        <v>-0.1449196895867173</v>
      </c>
      <c r="CS112" s="23">
        <f t="shared" si="127"/>
        <v>-8.6951813752030385E-2</v>
      </c>
      <c r="CT112" s="23">
        <f t="shared" si="128"/>
        <v>-4.8306563195572437E-2</v>
      </c>
      <c r="CU112" s="23">
        <f t="shared" si="129"/>
        <v>-2.5574062868244232E-2</v>
      </c>
      <c r="CV112" s="23">
        <f t="shared" si="130"/>
        <v>-1.3174517235156119E-2</v>
      </c>
      <c r="CW112" s="23">
        <f t="shared" si="131"/>
        <v>-6.6886010578484914E-3</v>
      </c>
      <c r="CX112" s="24">
        <f t="shared" si="132"/>
        <v>6.6886010578484914E-3</v>
      </c>
      <c r="CY112" s="24">
        <f t="shared" si="133"/>
        <v>1.3174517235156119E-2</v>
      </c>
      <c r="CZ112" s="24">
        <f t="shared" si="134"/>
        <v>2.5574062868244232E-2</v>
      </c>
      <c r="DA112" s="24">
        <f t="shared" si="135"/>
        <v>4.8306563195572437E-2</v>
      </c>
      <c r="DB112" s="24">
        <f t="shared" si="136"/>
        <v>8.6951813752030385E-2</v>
      </c>
      <c r="DC112" s="24">
        <f t="shared" si="137"/>
        <v>0.1449196895867173</v>
      </c>
      <c r="DD112" s="24">
        <f t="shared" si="138"/>
        <v>0.21737953438007596</v>
      </c>
      <c r="DF112" s="19" cm="1">
        <f t="array" aca="1" ref="DF112" ca="1">MAX(_xlfn._xlws.FILTER(CQ112:DD112,CQ112:DD112&lt;BJ112))</f>
        <v>-2.5574062868244232E-2</v>
      </c>
      <c r="DG112" s="19" cm="1">
        <f t="array" aca="1" ref="DG112" ca="1">MIN(_xlfn._xlws.FILTER(CQ112:DD112,CQ112:DD112&gt;BJ112))</f>
        <v>-1.3174517235156119E-2</v>
      </c>
      <c r="DH112" s="2" cm="1">
        <f t="array" aca="1" ref="DH112" ca="1">_FV(EE112,"Fechamento anterior",TRUE)</f>
        <v>8.5500000000000007</v>
      </c>
      <c r="DI112" s="36">
        <f t="shared" ca="1" si="115"/>
        <v>-7.2757029560201749</v>
      </c>
      <c r="DJ112" s="18">
        <f t="shared" ca="1" si="139"/>
        <v>8.3313417624765123</v>
      </c>
      <c r="DK112" s="18">
        <f t="shared" ca="1" si="140"/>
        <v>8.4373578776394158</v>
      </c>
      <c r="DL112" s="9"/>
      <c r="DM112" s="9"/>
      <c r="DN112" s="9"/>
      <c r="DO112" s="9"/>
      <c r="DP112" s="79">
        <v>1.2525527569775357E-2</v>
      </c>
      <c r="DQ112" s="79">
        <v>1.1610114681431704E-2</v>
      </c>
      <c r="DR112" s="79">
        <v>1.2525527569775357E-2</v>
      </c>
      <c r="DS112" s="79">
        <f t="shared" ca="1" si="116"/>
        <v>1.2399545633088113E-2</v>
      </c>
      <c r="DT112" s="47"/>
      <c r="DU112" s="43">
        <f t="shared" si="117"/>
        <v>0</v>
      </c>
      <c r="DV112" s="83">
        <f t="shared" ca="1" si="118"/>
        <v>1.3667</v>
      </c>
      <c r="DW112" s="83">
        <f t="shared" ca="1" si="119"/>
        <v>2.8119000000000001</v>
      </c>
      <c r="DX112" s="83">
        <f t="shared" ca="1" si="120"/>
        <v>-1.4452</v>
      </c>
      <c r="DY112" s="67"/>
      <c r="DZ112" s="67"/>
      <c r="EA112" s="85"/>
      <c r="EB112" s="44">
        <v>791600</v>
      </c>
      <c r="EC112" s="44" cm="1">
        <f t="array" aca="1" ref="EC112" ca="1">_FV(EE112,"Volume")</f>
        <v>1573700</v>
      </c>
      <c r="EE112" s="2" t="e" vm="111">
        <v>#VALUE!</v>
      </c>
      <c r="EG112" s="10" cm="1">
        <f t="array" aca="1" ref="EG112" ca="1">_FV(EE112,"Ações em circulação",TRUE)</f>
        <v>179720100</v>
      </c>
      <c r="EH112" s="21">
        <f>VLOOKUP(BH112,Fundamentus!A:U,5,FALSE)</f>
        <v>0.91300000000000003</v>
      </c>
      <c r="EI112" s="2">
        <f t="shared" ca="1" si="121"/>
        <v>1488153292.4424973</v>
      </c>
      <c r="EJ112" s="20">
        <v>162059893.54698795</v>
      </c>
      <c r="EK112" s="20">
        <f t="shared" ca="1" si="122"/>
        <v>162059893.54698795</v>
      </c>
      <c r="EM112" s="40" t="str">
        <f>IF(VLOOKUP(BH112,Fundamentus!A:U,3,FALSE)&lt;15,"Bom",IF(VLOOKUP(BH112,Fundamentus!A:U,3,FALSE)&gt;15,"Ruim","n/a"))</f>
        <v>Bom</v>
      </c>
      <c r="EN112" s="36" t="str">
        <f>IF(VLOOKUP(BH112,Fundamentus!A:U,4,FALSE)&lt;1,"Baixo",IF(VLOOKUP(BH112,Fundamentus!A:U,4,FALSE)&lt;1.5,"Moderado",IF(VLOOKUP(BH112,Fundamentus!A:U,4,FALSE)&gt;1.5,"Alto","n/a")))</f>
        <v>Alto</v>
      </c>
      <c r="EO112" s="20" t="str">
        <f>IF(VLOOKUP(BH112,Fundamentus!A:U,8,FALSE)&lt;0,"Risco elevado",IF(VLOOKUP(BH112,Fundamentus!A:U,8,FALSE)&lt;1,"Saudável",IF(VLOOKUP(BH112,Fundamentus!A:U,8,FALSE)&lt;3,"Estável",IF(VLOOKUP(BH112,Fundamentus!A:U,8,FALSE)&gt;3,"Alerta","n/a"))))</f>
        <v>Estável</v>
      </c>
      <c r="EP112" s="36" t="str">
        <f t="shared" si="123"/>
        <v>Ruim</v>
      </c>
      <c r="EQ112" s="20" t="str">
        <f>IF(VLOOKUP(BH112,Fundamentus!A:U,12,FALSE)&lt;2,"Subvalorizada",IF(VLOOKUP(BH112,Fundamentus!A:U,12,FALSE)&lt;6,"Muita barata",IF(VLOOKUP(BH112,Fundamentus!A:U,12,FALSE)&lt;6,"Barata",IF(VLOOKUP(BH112,Fundamentus!A:U,12,FALSE)&lt;8,"Atrativa",IF(VLOOKUP(BH112,Fundamentus!A:U,12,FALSE)&gt;8,"Supervalorizada","n/a")))))</f>
        <v>Muita barata</v>
      </c>
      <c r="ES112" s="20" t="str">
        <f>IF(VLOOKUP(BH112,Fundamentus!A:U,17,FALSE)&lt;0.1,"Fraco retorno",IF(VLOOKUP(BH112,Fundamentus!A:U,17,FALSE)&gt;0.1,"Bom retorno","n/a"))</f>
        <v>Bom retorno</v>
      </c>
      <c r="ET112" s="20" t="str">
        <f>IF(VLOOKUP(BH112,Fundamentus!A:U,16,FALSE)&lt;0.1,"Ineficiente",IF(VLOOKUP(BH112,Fundamentus!A:U,16,FALSE)&gt;0.1,"Eficiente","n/a"))</f>
        <v>Eficiente</v>
      </c>
      <c r="EU112" s="41" t="str">
        <f>IF(VLOOKUP(BH112,Fundamentus!A:U,16,FALSE)&lt;0.1,"Oper. Ineficiente",IF(VLOOKUP(BH112,Fundamentus!A:U,16,FALSE)&gt;0.1,"Oper.Eficiente","n/a"))</f>
        <v>Oper.Eficiente</v>
      </c>
      <c r="EV112" s="42">
        <f>VLOOKUP(BH112,Fundamentus!A:U,14,FALSE)</f>
        <v>0.1089</v>
      </c>
      <c r="EW112" s="20" t="str">
        <f>IF(VLOOKUP(BH112,Fundamentus!A:U,21,FALSE)&lt;0,"Negativo",IF(VLOOKUP(BH112,Fundamentus!A:U,21,FALSE)&lt;0.05,"Fraco",IF(VLOOKUP(BH112,Fundamentus!A:U,21,FALSE)&lt;0.1,"Bom",IF(VLOOKUP(BH112,Fundamentus!A:U,21,FALSE)&gt;0.1,"Muito bom","n/a"))))</f>
        <v>Muito bom</v>
      </c>
      <c r="EY112" s="37" t="str">
        <f>IF(VLOOKUP(BH112,Fundamentus!A:U,15,FALSE)&gt;1,"Bom",IF(VLOOKUP(BH112,Fundamentus!A:U,15,FALSE)&lt;1,"Ruim","n/a"))</f>
        <v>Bom</v>
      </c>
      <c r="EZ112" s="20" t="str">
        <f>IF(VLOOKUP(BH112,Fundamentus!A:U,20,FALSE)&lt;0.5,"Baixa",IF(VLOOKUP(BH112,Fundamentus!A:U,20,FALSE)&lt;1,"Moderada",IF(VLOOKUP(BH112,Fundamentus!A:U,20,FALSE)&lt;2,"Alerta",IF(VLOOKUP(BH112,Fundamentus!A:U,20,FALSE)&gt;2,"Alta","n/a"))))</f>
        <v>Baixa</v>
      </c>
      <c r="FA112" s="10"/>
    </row>
    <row r="113" spans="1:157" s="2" customFormat="1" ht="11.25" hidden="1" x14ac:dyDescent="0.2">
      <c r="A113" s="4">
        <v>16.399999999999999</v>
      </c>
      <c r="B113" s="4">
        <v>15.76</v>
      </c>
      <c r="C113" s="4">
        <v>14.73</v>
      </c>
      <c r="D113" s="4">
        <v>13.36</v>
      </c>
      <c r="E113" s="4">
        <v>13.12</v>
      </c>
      <c r="F113" s="4">
        <v>13.17</v>
      </c>
      <c r="G113" s="4">
        <v>12.79</v>
      </c>
      <c r="H113" s="4">
        <v>12.53</v>
      </c>
      <c r="I113" s="4">
        <v>12.53</v>
      </c>
      <c r="J113" s="4">
        <v>13.35</v>
      </c>
      <c r="K113" s="4">
        <v>13.55</v>
      </c>
      <c r="L113" s="4">
        <v>13.05</v>
      </c>
      <c r="M113" s="4">
        <v>13.33</v>
      </c>
      <c r="N113" s="4">
        <v>13.76</v>
      </c>
      <c r="O113" s="4">
        <v>15.45</v>
      </c>
      <c r="P113" s="4">
        <v>16.03</v>
      </c>
      <c r="Q113" s="4">
        <v>17.75</v>
      </c>
      <c r="R113" s="4">
        <v>17.010000000000002</v>
      </c>
      <c r="S113" s="4">
        <v>17.72</v>
      </c>
      <c r="T113" s="4">
        <v>18.940000000000001</v>
      </c>
      <c r="U113" s="4">
        <v>18.04</v>
      </c>
      <c r="V113" s="4">
        <v>17.829999999999998</v>
      </c>
      <c r="W113" s="4">
        <v>18.11</v>
      </c>
      <c r="X113" s="4">
        <v>18.71</v>
      </c>
      <c r="Y113" s="4">
        <v>18.100000000000001</v>
      </c>
      <c r="Z113" s="4">
        <v>18.47</v>
      </c>
      <c r="AA113" s="4">
        <v>18.11</v>
      </c>
      <c r="AB113" s="4">
        <v>16.97</v>
      </c>
      <c r="AC113" s="4">
        <v>16.489999999999998</v>
      </c>
      <c r="AD113" s="4">
        <v>16.149999999999999</v>
      </c>
      <c r="AE113" s="4">
        <v>15.07</v>
      </c>
      <c r="AF113" s="4">
        <v>15.63</v>
      </c>
      <c r="AG113" s="4">
        <v>13.66</v>
      </c>
      <c r="AH113" s="4">
        <v>12.63</v>
      </c>
      <c r="AI113" s="4">
        <v>12.22</v>
      </c>
      <c r="AJ113" s="4">
        <v>12.15</v>
      </c>
      <c r="AK113" s="4">
        <v>12.84</v>
      </c>
      <c r="AL113" s="4">
        <v>12.33</v>
      </c>
      <c r="AM113" s="4">
        <v>13.17</v>
      </c>
      <c r="AN113" s="4">
        <v>13.65</v>
      </c>
      <c r="AO113" s="4">
        <v>12.83</v>
      </c>
      <c r="AP113" s="4">
        <v>13.65</v>
      </c>
      <c r="AQ113" s="4">
        <v>11.79</v>
      </c>
      <c r="AR113" s="4">
        <v>11.33</v>
      </c>
      <c r="AS113" s="4">
        <v>11.92</v>
      </c>
      <c r="AT113" s="4">
        <v>12.03</v>
      </c>
      <c r="AU113" s="4">
        <v>12.265000000000001</v>
      </c>
      <c r="AV113" s="4">
        <v>12.54</v>
      </c>
      <c r="AW113" s="4">
        <v>12.65</v>
      </c>
      <c r="AX113" s="4">
        <v>12.8</v>
      </c>
      <c r="AY113" s="12">
        <v>12.8</v>
      </c>
      <c r="AZ113" s="12">
        <v>13.84</v>
      </c>
      <c r="BA113" s="12">
        <v>14.61</v>
      </c>
      <c r="BB113" s="18">
        <v>15.44</v>
      </c>
      <c r="BC113" s="63">
        <v>17.420000000000002</v>
      </c>
      <c r="BD113" s="63">
        <v>17.600000000000001</v>
      </c>
      <c r="BE113" s="63">
        <v>18.16</v>
      </c>
      <c r="BF113" s="63">
        <v>17.559999999999999</v>
      </c>
      <c r="BG113" s="91" cm="1">
        <f t="array" aca="1" ref="BG113" ca="1">_FV(EE113,"Preço")</f>
        <v>18.36</v>
      </c>
      <c r="BH113" s="93" t="s">
        <v>205</v>
      </c>
      <c r="BI113" s="32" cm="1">
        <f t="array" aca="1" ref="BI113" ca="1">_FV(EE113,"Beta")</f>
        <v>1.6687000000000001</v>
      </c>
      <c r="BJ113" s="96" cm="1">
        <f t="array" aca="1" ref="BJ113" ca="1">_FV(EE113,"Variação (%)",TRUE)</f>
        <v>-4.3379999999999998E-3</v>
      </c>
      <c r="BK113" s="49"/>
      <c r="BL113" s="49"/>
      <c r="BN113" s="32"/>
      <c r="BO113" s="20" cm="1">
        <f t="array" aca="1" ref="BO113" ca="1">_FV(EE113,"Baixo")</f>
        <v>17.809999999999999</v>
      </c>
      <c r="BP113" s="20" cm="1">
        <f t="array" aca="1" ref="BP113" ca="1">_FV(EE113,"Alto")</f>
        <v>18.420000000000002</v>
      </c>
      <c r="BQ113" s="32"/>
      <c r="BR113" s="74">
        <f ca="1">SQRT(22.5*(BG113/VLOOKUP(BH113,Fundamentus!A:U,3,FALSE))*(BG113/VLOOKUP(BH113,Fundamentus!A:U,4,FALSE)))</f>
        <v>16.168421294979836</v>
      </c>
      <c r="BT113" s="73">
        <f t="shared" ca="1" si="99"/>
        <v>4.5558086560364509E-2</v>
      </c>
      <c r="BU113" s="36">
        <f t="shared" si="100"/>
        <v>0.10731707317073182</v>
      </c>
      <c r="BV113" s="8"/>
      <c r="BW113" s="72">
        <f t="shared" si="101"/>
        <v>11.33</v>
      </c>
      <c r="BX113" s="72">
        <f t="shared" si="102"/>
        <v>14.756810344827583</v>
      </c>
      <c r="BY113" s="72">
        <f t="shared" si="103"/>
        <v>18.940000000000001</v>
      </c>
      <c r="BZ113" s="17"/>
      <c r="CA113" s="17"/>
      <c r="CB113" s="43">
        <f t="shared" si="104"/>
        <v>17.366336395573267</v>
      </c>
      <c r="CC113" s="18">
        <f t="shared" si="105"/>
        <v>17.930871602624165</v>
      </c>
      <c r="CD113" s="43">
        <f t="shared" si="106"/>
        <v>18.495406809675064</v>
      </c>
      <c r="CE113" s="98">
        <f t="shared" ca="1" si="107"/>
        <v>0.76014461457165383</v>
      </c>
      <c r="CF113" s="17"/>
      <c r="CG113" s="20">
        <f t="shared" si="108"/>
        <v>5.3366666666666642</v>
      </c>
      <c r="CH113" s="20">
        <f t="shared" si="109"/>
        <v>8.3333333333333321</v>
      </c>
      <c r="CI113" s="20">
        <f t="shared" si="110"/>
        <v>12.946666666666665</v>
      </c>
      <c r="CJ113" s="49">
        <f t="shared" si="111"/>
        <v>15.943333333333333</v>
      </c>
      <c r="CK113" s="20">
        <f t="shared" si="112"/>
        <v>20.556666666666665</v>
      </c>
      <c r="CL113" s="20">
        <f t="shared" si="113"/>
        <v>23.553333333333335</v>
      </c>
      <c r="CM113" s="20">
        <f t="shared" si="114"/>
        <v>28.166666666666668</v>
      </c>
      <c r="CN113" s="2" cm="1">
        <f t="array" aca="1" ref="CN113" ca="1">MAX(_xlfn._xlws.FILTER(CG113:CM113,CG113:CM113&lt;BG113))</f>
        <v>15.943333333333333</v>
      </c>
      <c r="CO113" s="2" cm="1">
        <f t="array" aca="1" ref="CO113" ca="1">MIN(_xlfn._xlws.FILTER($CG113:$CM113,$CG113:$CM113&gt;BG113))</f>
        <v>20.556666666666665</v>
      </c>
      <c r="CP113" s="19">
        <f t="shared" ca="1" si="124"/>
        <v>0.28935814342462884</v>
      </c>
      <c r="CQ113" s="23">
        <f t="shared" ca="1" si="125"/>
        <v>-0.14467907171231442</v>
      </c>
      <c r="CR113" s="23">
        <f t="shared" ca="1" si="126"/>
        <v>-9.6452714474876286E-2</v>
      </c>
      <c r="CS113" s="23">
        <f t="shared" ca="1" si="127"/>
        <v>-5.787162868492577E-2</v>
      </c>
      <c r="CT113" s="23">
        <f t="shared" ca="1" si="128"/>
        <v>-3.2150904824958762E-2</v>
      </c>
      <c r="CU113" s="23">
        <f t="shared" ca="1" si="129"/>
        <v>-1.7021067260272284E-2</v>
      </c>
      <c r="CV113" s="23">
        <f t="shared" ca="1" si="130"/>
        <v>-8.7684285886251156E-3</v>
      </c>
      <c r="CW113" s="23">
        <f t="shared" ca="1" si="131"/>
        <v>-4.45166374499429E-3</v>
      </c>
      <c r="CX113" s="24">
        <f t="shared" ca="1" si="132"/>
        <v>4.45166374499429E-3</v>
      </c>
      <c r="CY113" s="24">
        <f t="shared" ca="1" si="133"/>
        <v>8.7684285886251156E-3</v>
      </c>
      <c r="CZ113" s="24">
        <f t="shared" ca="1" si="134"/>
        <v>1.7021067260272284E-2</v>
      </c>
      <c r="DA113" s="24">
        <f t="shared" ca="1" si="135"/>
        <v>3.2150904824958762E-2</v>
      </c>
      <c r="DB113" s="24">
        <f t="shared" ca="1" si="136"/>
        <v>5.787162868492577E-2</v>
      </c>
      <c r="DC113" s="24">
        <f t="shared" ca="1" si="137"/>
        <v>9.6452714474876286E-2</v>
      </c>
      <c r="DD113" s="24">
        <f t="shared" ca="1" si="138"/>
        <v>0.14467907171231442</v>
      </c>
      <c r="DF113" s="19" cm="1">
        <f t="array" aca="1" ref="DF113" ca="1">MAX(_xlfn._xlws.FILTER(CQ113:DD113,CQ113:DD113&lt;BJ113))</f>
        <v>-4.45166374499429E-3</v>
      </c>
      <c r="DG113" s="19" cm="1">
        <f t="array" aca="1" ref="DG113" ca="1">MIN(_xlfn._xlws.FILTER(CQ113:DD113,CQ113:DD113&gt;BJ113))</f>
        <v>4.45166374499429E-3</v>
      </c>
      <c r="DH113" s="2" cm="1">
        <f t="array" aca="1" ref="DH113" ca="1">_FV(EE113,"Fechamento anterior",TRUE)</f>
        <v>18.440000000000001</v>
      </c>
      <c r="DI113" s="36">
        <f t="shared" ca="1" si="115"/>
        <v>1.2722091958909245E-2</v>
      </c>
      <c r="DJ113" s="18">
        <f t="shared" ca="1" si="139"/>
        <v>18.357911320542307</v>
      </c>
      <c r="DK113" s="18">
        <f t="shared" ca="1" si="140"/>
        <v>18.522088679457696</v>
      </c>
      <c r="DL113" s="9"/>
      <c r="DM113" s="9"/>
      <c r="DN113" s="9"/>
      <c r="DO113" s="9"/>
      <c r="DP113" s="80">
        <v>2.4150655905530546E-2</v>
      </c>
      <c r="DQ113" s="80">
        <v>7.748873552576644E-3</v>
      </c>
      <c r="DR113" s="80">
        <v>2.4150655905530546E-2</v>
      </c>
      <c r="DS113" s="80">
        <f t="shared" ca="1" si="116"/>
        <v>8.90332748998858E-3</v>
      </c>
      <c r="DT113" s="47"/>
      <c r="DU113" s="43">
        <f t="shared" si="117"/>
        <v>0.28226760352544855</v>
      </c>
      <c r="DV113" s="83">
        <f t="shared" ca="1" si="118"/>
        <v>2.0948000000000002</v>
      </c>
      <c r="DW113" s="83">
        <f t="shared" ca="1" si="119"/>
        <v>2.1025</v>
      </c>
      <c r="DX113" s="83">
        <f t="shared" ca="1" si="120"/>
        <v>-7.6999999999998181E-3</v>
      </c>
      <c r="DY113" s="67"/>
      <c r="DZ113" s="67"/>
      <c r="EA113" s="85"/>
      <c r="EB113" s="44">
        <v>21496800</v>
      </c>
      <c r="EC113" s="44" cm="1">
        <f t="array" aca="1" ref="EC113" ca="1">_FV(EE113,"Volume")</f>
        <v>13656600</v>
      </c>
      <c r="EE113" s="2" t="e" vm="112">
        <v>#VALUE!</v>
      </c>
      <c r="EG113" s="10" cm="1">
        <f t="array" aca="1" ref="EG113" ca="1">_FV(EE113,"Ações em circulação",TRUE)</f>
        <v>1059550000</v>
      </c>
      <c r="EH113" s="21">
        <f>VLOOKUP(BH113,Fundamentus!A:U,5,FALSE)</f>
        <v>1.32</v>
      </c>
      <c r="EI113" s="2">
        <f t="shared" ca="1" si="121"/>
        <v>14737377272.727272</v>
      </c>
      <c r="EJ113" s="20">
        <v>1219237028.0303028</v>
      </c>
      <c r="EK113" s="20">
        <f t="shared" ca="1" si="122"/>
        <v>1274783134.090909</v>
      </c>
      <c r="EM113" s="40" t="str">
        <f>IF(VLOOKUP(BH113,Fundamentus!A:U,3,FALSE)&lt;15,"Bom",IF(VLOOKUP(BH113,Fundamentus!A:U,3,FALSE)&gt;15,"Ruim","n/a"))</f>
        <v>Ruim</v>
      </c>
      <c r="EN113" s="36" t="str">
        <f>IF(VLOOKUP(BH113,Fundamentus!A:U,4,FALSE)&lt;1,"Baixo",IF(VLOOKUP(BH113,Fundamentus!A:U,4,FALSE)&lt;1.5,"Moderado",IF(VLOOKUP(BH113,Fundamentus!A:U,4,FALSE)&gt;1.5,"Alto","n/a")))</f>
        <v>Alto</v>
      </c>
      <c r="EO113" s="20" t="str">
        <f>IF(VLOOKUP(BH113,Fundamentus!A:U,8,FALSE)&lt;0,"Risco elevado",IF(VLOOKUP(BH113,Fundamentus!A:U,8,FALSE)&lt;1,"Saudável",IF(VLOOKUP(BH113,Fundamentus!A:U,8,FALSE)&lt;3,"Estável",IF(VLOOKUP(BH113,Fundamentus!A:U,8,FALSE)&gt;3,"Alerta","n/a"))))</f>
        <v>Alerta</v>
      </c>
      <c r="EP113" s="36" t="str">
        <f t="shared" si="123"/>
        <v>Bom</v>
      </c>
      <c r="EQ113" s="20" t="str">
        <f>IF(VLOOKUP(BH113,Fundamentus!A:U,12,FALSE)&lt;2,"Subvalorizada",IF(VLOOKUP(BH113,Fundamentus!A:U,12,FALSE)&lt;6,"Muita barata",IF(VLOOKUP(BH113,Fundamentus!A:U,12,FALSE)&lt;6,"Barata",IF(VLOOKUP(BH113,Fundamentus!A:U,12,FALSE)&lt;8,"Atrativa",IF(VLOOKUP(BH113,Fundamentus!A:U,12,FALSE)&gt;8,"Supervalorizada","n/a")))))</f>
        <v>Muita barata</v>
      </c>
      <c r="ES113" s="20" t="str">
        <f>IF(VLOOKUP(BH113,Fundamentus!A:U,17,FALSE)&lt;0.1,"Fraco retorno",IF(VLOOKUP(BH113,Fundamentus!A:U,17,FALSE)&gt;0.1,"Bom retorno","n/a"))</f>
        <v>Bom retorno</v>
      </c>
      <c r="ET113" s="20" t="str">
        <f>IF(VLOOKUP(BH113,Fundamentus!A:U,16,FALSE)&lt;0.1,"Ineficiente",IF(VLOOKUP(BH113,Fundamentus!A:U,16,FALSE)&gt;0.1,"Eficiente","n/a"))</f>
        <v>Eficiente</v>
      </c>
      <c r="EU113" s="41" t="str">
        <f>IF(VLOOKUP(BH113,Fundamentus!A:U,16,FALSE)&lt;0.1,"Oper. Ineficiente",IF(VLOOKUP(BH113,Fundamentus!A:U,16,FALSE)&gt;0.1,"Oper.Eficiente","n/a"))</f>
        <v>Oper.Eficiente</v>
      </c>
      <c r="EV113" s="42">
        <f>VLOOKUP(BH113,Fundamentus!A:U,14,FALSE)</f>
        <v>8.6499999999999994E-2</v>
      </c>
      <c r="EW113" s="20" t="str">
        <f>IF(VLOOKUP(BH113,Fundamentus!A:U,21,FALSE)&lt;0,"Negativo",IF(VLOOKUP(BH113,Fundamentus!A:U,21,FALSE)&lt;0.05,"Fraco",IF(VLOOKUP(BH113,Fundamentus!A:U,21,FALSE)&lt;0.1,"Bom",IF(VLOOKUP(BH113,Fundamentus!A:U,21,FALSE)&gt;0.1,"Muito bom","n/a"))))</f>
        <v>Muito bom</v>
      </c>
      <c r="EY113" s="37" t="str">
        <f>IF(VLOOKUP(BH113,Fundamentus!A:U,15,FALSE)&gt;1,"Bom",IF(VLOOKUP(BH113,Fundamentus!A:U,15,FALSE)&lt;1,"Ruim","n/a"))</f>
        <v>Bom</v>
      </c>
      <c r="EZ113" s="20" t="str">
        <f>IF(VLOOKUP(BH113,Fundamentus!A:U,20,FALSE)&lt;0.5,"Baixa",IF(VLOOKUP(BH113,Fundamentus!A:U,20,FALSE)&lt;1,"Moderada",IF(VLOOKUP(BH113,Fundamentus!A:U,20,FALSE)&lt;2,"Alerta",IF(VLOOKUP(BH113,Fundamentus!A:U,20,FALSE)&gt;2,"Alta","n/a"))))</f>
        <v>Baixa</v>
      </c>
      <c r="FA113" s="10">
        <v>1</v>
      </c>
    </row>
    <row r="114" spans="1:157" s="2" customFormat="1" ht="11.25" hidden="1" x14ac:dyDescent="0.2">
      <c r="A114" s="4">
        <v>9.56</v>
      </c>
      <c r="B114" s="4">
        <v>10.4</v>
      </c>
      <c r="C114" s="4">
        <v>11.52</v>
      </c>
      <c r="D114" s="4">
        <v>11.68</v>
      </c>
      <c r="E114" s="4">
        <v>11.23</v>
      </c>
      <c r="F114" s="4">
        <v>11.12</v>
      </c>
      <c r="G114" s="4">
        <v>10.52</v>
      </c>
      <c r="H114" s="4">
        <v>11.25</v>
      </c>
      <c r="I114" s="4">
        <v>12.27</v>
      </c>
      <c r="J114" s="4">
        <v>12.33</v>
      </c>
      <c r="K114" s="4">
        <v>12.26</v>
      </c>
      <c r="L114" s="4">
        <v>11.2</v>
      </c>
      <c r="M114" s="4">
        <v>11.35</v>
      </c>
      <c r="N114" s="4">
        <v>11.52</v>
      </c>
      <c r="O114" s="4">
        <v>12.12</v>
      </c>
      <c r="P114" s="4">
        <v>12.88</v>
      </c>
      <c r="Q114" s="4">
        <v>14.56</v>
      </c>
      <c r="R114" s="4">
        <v>14.56</v>
      </c>
      <c r="S114" s="4">
        <v>14.48</v>
      </c>
      <c r="T114" s="4">
        <v>14.42</v>
      </c>
      <c r="U114" s="4">
        <v>14.26</v>
      </c>
      <c r="V114" s="4">
        <v>13.84</v>
      </c>
      <c r="W114" s="4">
        <v>13.46</v>
      </c>
      <c r="X114" s="4">
        <v>12.7</v>
      </c>
      <c r="Y114" s="4">
        <v>14.5</v>
      </c>
      <c r="Z114" s="4">
        <v>14.45</v>
      </c>
      <c r="AA114" s="4">
        <v>15.37</v>
      </c>
      <c r="AB114" s="4">
        <v>15.08</v>
      </c>
      <c r="AC114" s="4">
        <v>16.899999999999999</v>
      </c>
      <c r="AD114" s="4">
        <v>18.2</v>
      </c>
      <c r="AE114" s="4">
        <v>18.77</v>
      </c>
      <c r="AF114" s="4">
        <v>19.489999999999998</v>
      </c>
      <c r="AG114" s="4">
        <v>16.64</v>
      </c>
      <c r="AH114" s="4">
        <v>16.66</v>
      </c>
      <c r="AI114" s="4">
        <v>16.600000000000001</v>
      </c>
      <c r="AJ114" s="4">
        <v>16.850000000000001</v>
      </c>
      <c r="AK114" s="4">
        <v>16.86</v>
      </c>
      <c r="AL114" s="4">
        <v>15.48</v>
      </c>
      <c r="AM114" s="4">
        <v>15.65</v>
      </c>
      <c r="AN114" s="4">
        <v>15.89</v>
      </c>
      <c r="AO114" s="4">
        <v>14.84</v>
      </c>
      <c r="AP114" s="4">
        <v>14.44</v>
      </c>
      <c r="AQ114" s="4">
        <v>13.79</v>
      </c>
      <c r="AR114" s="4">
        <v>13.63</v>
      </c>
      <c r="AS114" s="4">
        <v>14.85</v>
      </c>
      <c r="AT114" s="4">
        <v>15.26</v>
      </c>
      <c r="AU114" s="4">
        <v>17.484999999999999</v>
      </c>
      <c r="AV114" s="4">
        <v>18.059999999999999</v>
      </c>
      <c r="AW114" s="4">
        <v>18.55</v>
      </c>
      <c r="AX114" s="4">
        <v>20.16</v>
      </c>
      <c r="AY114" s="12">
        <v>20.7</v>
      </c>
      <c r="AZ114" s="12">
        <v>22.85</v>
      </c>
      <c r="BA114" s="12">
        <v>21.48</v>
      </c>
      <c r="BB114" s="18">
        <v>20.45</v>
      </c>
      <c r="BC114" s="63">
        <v>20.66</v>
      </c>
      <c r="BD114" s="63">
        <v>24.84</v>
      </c>
      <c r="BE114" s="63">
        <v>25.41</v>
      </c>
      <c r="BF114" s="63">
        <v>24.53</v>
      </c>
      <c r="BG114" s="91" cm="1">
        <f t="array" aca="1" ref="BG114" ca="1">_FV(EE114,"Preço")</f>
        <v>25.18</v>
      </c>
      <c r="BH114" s="93" t="s">
        <v>111</v>
      </c>
      <c r="BI114" s="32" cm="1">
        <f t="array" aca="1" ref="BI114" ca="1">_FV(EE114,"Beta")</f>
        <v>0.93869999999999998</v>
      </c>
      <c r="BJ114" s="96" cm="1">
        <f t="array" aca="1" ref="BJ114" ca="1">_FV(EE114,"Variação (%)",TRUE)</f>
        <v>-3.9560000000000003E-3</v>
      </c>
      <c r="BK114" s="49"/>
      <c r="BL114" s="49"/>
      <c r="BN114" s="32"/>
      <c r="BO114" s="20" cm="1">
        <f t="array" aca="1" ref="BO114" ca="1">_FV(EE114,"Baixo")</f>
        <v>24.7</v>
      </c>
      <c r="BP114" s="20" cm="1">
        <f t="array" aca="1" ref="BP114" ca="1">_FV(EE114,"Alto")</f>
        <v>25.24</v>
      </c>
      <c r="BQ114" s="32"/>
      <c r="BR114" s="74">
        <f ca="1">SQRT(22.5*(BG114/VLOOKUP(BH114,Fundamentus!A:U,3,FALSE))*(BG114/VLOOKUP(BH114,Fundamentus!A:U,4,FALSE)))</f>
        <v>15.830252279782371</v>
      </c>
      <c r="BT114" s="73">
        <f t="shared" ca="1" si="99"/>
        <v>2.6498165511618366E-2</v>
      </c>
      <c r="BU114" s="36">
        <f t="shared" si="100"/>
        <v>1.657949790794979</v>
      </c>
      <c r="BV114" s="8"/>
      <c r="BW114" s="72">
        <f t="shared" si="101"/>
        <v>9.56</v>
      </c>
      <c r="BX114" s="72">
        <f t="shared" si="102"/>
        <v>15.532155172413791</v>
      </c>
      <c r="BY114" s="72">
        <f t="shared" si="103"/>
        <v>25.41</v>
      </c>
      <c r="BZ114" s="17"/>
      <c r="CA114" s="17"/>
      <c r="CB114" s="43">
        <f t="shared" si="104"/>
        <v>23.161033311162168</v>
      </c>
      <c r="CC114" s="18">
        <f t="shared" si="105"/>
        <v>26.909606373008501</v>
      </c>
      <c r="CD114" s="43">
        <f t="shared" si="106"/>
        <v>30.658179434854834</v>
      </c>
      <c r="CE114" s="98">
        <f t="shared" ca="1" si="107"/>
        <v>-0.46140393810454255</v>
      </c>
      <c r="CF114" s="17"/>
      <c r="CG114" s="20">
        <f t="shared" si="108"/>
        <v>-1.5933333333333355</v>
      </c>
      <c r="CH114" s="20">
        <f t="shared" si="109"/>
        <v>3.9833333333333325</v>
      </c>
      <c r="CI114" s="20">
        <f t="shared" si="110"/>
        <v>14.256666666666664</v>
      </c>
      <c r="CJ114" s="49">
        <f t="shared" si="111"/>
        <v>19.833333333333332</v>
      </c>
      <c r="CK114" s="20">
        <f t="shared" si="112"/>
        <v>30.106666666666662</v>
      </c>
      <c r="CL114" s="20">
        <f t="shared" si="113"/>
        <v>35.68333333333333</v>
      </c>
      <c r="CM114" s="20">
        <f t="shared" si="114"/>
        <v>45.956666666666663</v>
      </c>
      <c r="CN114" s="2" cm="1">
        <f t="array" aca="1" ref="CN114" ca="1">MAX(_xlfn._xlws.FILTER(CG114:CM114,CG114:CM114&lt;BG114))</f>
        <v>19.833333333333332</v>
      </c>
      <c r="CO114" s="2" cm="1">
        <f t="array" aca="1" ref="CO114" ca="1">MIN(_xlfn._xlws.FILTER($CG114:$CM114,$CG114:$CM114&gt;BG114))</f>
        <v>30.106666666666662</v>
      </c>
      <c r="CP114" s="19">
        <f t="shared" ref="CP114:CP145" ca="1" si="141">(CO114/CN114)-1</f>
        <v>0.51798319327731068</v>
      </c>
      <c r="CQ114" s="23">
        <f t="shared" ref="CQ114:CQ145" ca="1" si="142">-$CP114/2</f>
        <v>-0.25899159663865534</v>
      </c>
      <c r="CR114" s="23">
        <f t="shared" ref="CR114:CR145" ca="1" si="143">-$CP114/3</f>
        <v>-0.17266106442577023</v>
      </c>
      <c r="CS114" s="23">
        <f t="shared" ref="CS114:CS145" ca="1" si="144">-$CP114/5</f>
        <v>-0.10359663865546213</v>
      </c>
      <c r="CT114" s="23">
        <f t="shared" ref="CT114:CT145" ca="1" si="145">-$CP114/9</f>
        <v>-5.7553688141923409E-2</v>
      </c>
      <c r="CU114" s="23">
        <f t="shared" ref="CU114:CU145" ca="1" si="146">-$CP114/17</f>
        <v>-3.0469599604547686E-2</v>
      </c>
      <c r="CV114" s="23">
        <f t="shared" ref="CV114:CV145" ca="1" si="147">-$CP114/33</f>
        <v>-1.5696460402342748E-2</v>
      </c>
      <c r="CW114" s="23">
        <f t="shared" ref="CW114:CW145" ca="1" si="148">-$CP114/65</f>
        <v>-7.9689722042663187E-3</v>
      </c>
      <c r="CX114" s="24">
        <f t="shared" ref="CX114:CX145" ca="1" si="149">-$CP114/65*-1</f>
        <v>7.9689722042663187E-3</v>
      </c>
      <c r="CY114" s="24">
        <f t="shared" ref="CY114:CY145" ca="1" si="150">-$CP114/33*-1</f>
        <v>1.5696460402342748E-2</v>
      </c>
      <c r="CZ114" s="24">
        <f t="shared" ref="CZ114:CZ145" ca="1" si="151">-$CP114/17*-1</f>
        <v>3.0469599604547686E-2</v>
      </c>
      <c r="DA114" s="24">
        <f t="shared" ref="DA114:DA145" ca="1" si="152">-$CP114/9*-1</f>
        <v>5.7553688141923409E-2</v>
      </c>
      <c r="DB114" s="24">
        <f t="shared" ref="DB114:DB145" ca="1" si="153">-$CP114/5*-1</f>
        <v>0.10359663865546213</v>
      </c>
      <c r="DC114" s="24">
        <f t="shared" ref="DC114:DC145" ca="1" si="154">-$CP114/3*-1</f>
        <v>0.17266106442577023</v>
      </c>
      <c r="DD114" s="24">
        <f t="shared" ref="DD114:DD145" ca="1" si="155">-$CP114/2*-1</f>
        <v>0.25899159663865534</v>
      </c>
      <c r="DF114" s="19" cm="1">
        <f t="array" aca="1" ref="DF114" ca="1">MAX(_xlfn._xlws.FILTER(CQ114:DD114,CQ114:DD114&lt;BJ114))</f>
        <v>-7.9689722042663187E-3</v>
      </c>
      <c r="DG114" s="19" cm="1">
        <f t="array" aca="1" ref="DG114" ca="1">MIN(_xlfn._xlws.FILTER(CQ114:DD114,CQ114:DD114&gt;BJ114))</f>
        <v>7.9689722042663187E-3</v>
      </c>
      <c r="DH114" s="2" cm="1">
        <f t="array" aca="1" ref="DH114" ca="1">_FV(EE114,"Fechamento anterior",TRUE)</f>
        <v>25.28</v>
      </c>
      <c r="DI114" s="36">
        <f t="shared" ca="1" si="115"/>
        <v>0.25180637470325401</v>
      </c>
      <c r="DJ114" s="18">
        <f t="shared" ref="DJ114:DJ145" ca="1" si="156">DH114+(DH114*DF114)</f>
        <v>25.078544382676149</v>
      </c>
      <c r="DK114" s="18">
        <f t="shared" ref="DK114:DK145" ca="1" si="157">DH114+(DH114*DG114)</f>
        <v>25.481455617323853</v>
      </c>
      <c r="DL114" s="9"/>
      <c r="DM114" s="9"/>
      <c r="DN114" s="9"/>
      <c r="DO114" s="9"/>
      <c r="DP114" s="79">
        <v>2.5150270024767055E-2</v>
      </c>
      <c r="DQ114" s="79">
        <v>1.4973498207136157E-2</v>
      </c>
      <c r="DR114" s="79">
        <v>7.8322913698866039E-3</v>
      </c>
      <c r="DS114" s="79">
        <f t="shared" ca="1" si="116"/>
        <v>1.5937944408532637E-2</v>
      </c>
      <c r="DT114" s="47"/>
      <c r="DU114" s="43">
        <f t="shared" si="117"/>
        <v>1.8742865309231669</v>
      </c>
      <c r="DV114" s="83">
        <f t="shared" ca="1" si="118"/>
        <v>1.3648</v>
      </c>
      <c r="DW114" s="83">
        <f t="shared" ca="1" si="119"/>
        <v>1.3343</v>
      </c>
      <c r="DX114" s="83">
        <f t="shared" ca="1" si="120"/>
        <v>3.0499999999999972E-2</v>
      </c>
      <c r="DY114" s="67"/>
      <c r="DZ114" s="67"/>
      <c r="EA114" s="85"/>
      <c r="EB114" s="44">
        <v>2920100</v>
      </c>
      <c r="EC114" s="44" cm="1">
        <f t="array" aca="1" ref="EC114" ca="1">_FV(EE114,"Volume")</f>
        <v>4268400</v>
      </c>
      <c r="EE114" s="2" t="e" vm="113">
        <v>#VALUE!</v>
      </c>
      <c r="EG114" s="10" cm="1">
        <f t="array" aca="1" ref="EG114" ca="1">_FV(EE114,"Ações em circulação",TRUE)</f>
        <v>857928100</v>
      </c>
      <c r="EH114" s="21">
        <f>VLOOKUP(BH114,Fundamentus!A:U,5,FALSE)</f>
        <v>0.13600000000000001</v>
      </c>
      <c r="EI114" s="2">
        <f t="shared" ca="1" si="121"/>
        <v>158842864397.05881</v>
      </c>
      <c r="EJ114" s="20">
        <v>4085201280.4058819</v>
      </c>
      <c r="EK114" s="20">
        <f t="shared" ca="1" si="122"/>
        <v>4193451620.0823526</v>
      </c>
      <c r="EM114" s="40" t="str">
        <f>IF(VLOOKUP(BH114,Fundamentus!A:U,3,FALSE)&lt;15,"Bom",IF(VLOOKUP(BH114,Fundamentus!A:U,3,FALSE)&gt;15,"Ruim","n/a"))</f>
        <v>Bom</v>
      </c>
      <c r="EN114" s="36" t="str">
        <f>IF(VLOOKUP(BH114,Fundamentus!A:U,4,FALSE)&lt;1,"Baixo",IF(VLOOKUP(BH114,Fundamentus!A:U,4,FALSE)&lt;1.5,"Moderado",IF(VLOOKUP(BH114,Fundamentus!A:U,4,FALSE)&gt;1.5,"Alto","n/a")))</f>
        <v>Alto</v>
      </c>
      <c r="EO114" s="20" t="str">
        <f>IF(VLOOKUP(BH114,Fundamentus!A:U,8,FALSE)&lt;0,"Risco elevado",IF(VLOOKUP(BH114,Fundamentus!A:U,8,FALSE)&lt;1,"Saudável",IF(VLOOKUP(BH114,Fundamentus!A:U,8,FALSE)&lt;3,"Estável",IF(VLOOKUP(BH114,Fundamentus!A:U,8,FALSE)&gt;3,"Alerta","n/a"))))</f>
        <v>Estável</v>
      </c>
      <c r="EP114" s="36" t="str">
        <f t="shared" si="123"/>
        <v>Ruim</v>
      </c>
      <c r="EQ114" s="20" t="str">
        <f>IF(VLOOKUP(BH114,Fundamentus!A:U,12,FALSE)&lt;2,"Subvalorizada",IF(VLOOKUP(BH114,Fundamentus!A:U,12,FALSE)&lt;6,"Muita barata",IF(VLOOKUP(BH114,Fundamentus!A:U,12,FALSE)&lt;6,"Barata",IF(VLOOKUP(BH114,Fundamentus!A:U,12,FALSE)&lt;8,"Atrativa",IF(VLOOKUP(BH114,Fundamentus!A:U,12,FALSE)&gt;8,"Supervalorizada","n/a")))))</f>
        <v>Muita barata</v>
      </c>
      <c r="ES114" s="20" t="str">
        <f>IF(VLOOKUP(BH114,Fundamentus!A:U,17,FALSE)&lt;0.1,"Fraco retorno",IF(VLOOKUP(BH114,Fundamentus!A:U,17,FALSE)&gt;0.1,"Bom retorno","n/a"))</f>
        <v>Bom retorno</v>
      </c>
      <c r="ET114" s="20" t="str">
        <f>IF(VLOOKUP(BH114,Fundamentus!A:U,16,FALSE)&lt;0.1,"Ineficiente",IF(VLOOKUP(BH114,Fundamentus!A:U,16,FALSE)&gt;0.1,"Eficiente","n/a"))</f>
        <v>Ineficiente</v>
      </c>
      <c r="EU114" s="41" t="str">
        <f>IF(VLOOKUP(BH114,Fundamentus!A:U,16,FALSE)&lt;0.1,"Oper. Ineficiente",IF(VLOOKUP(BH114,Fundamentus!A:U,16,FALSE)&gt;0.1,"Oper.Eficiente","n/a"))</f>
        <v>Oper. Ineficiente</v>
      </c>
      <c r="EV114" s="42">
        <f>VLOOKUP(BH114,Fundamentus!A:U,14,FALSE)</f>
        <v>2.64E-2</v>
      </c>
      <c r="EW114" s="20" t="str">
        <f>IF(VLOOKUP(BH114,Fundamentus!A:U,21,FALSE)&lt;0,"Negativo",IF(VLOOKUP(BH114,Fundamentus!A:U,21,FALSE)&lt;0.05,"Fraco",IF(VLOOKUP(BH114,Fundamentus!A:U,21,FALSE)&lt;0.1,"Bom",IF(VLOOKUP(BH114,Fundamentus!A:U,21,FALSE)&gt;0.1,"Muito bom","n/a"))))</f>
        <v>Muito bom</v>
      </c>
      <c r="EY114" s="37" t="str">
        <f>IF(VLOOKUP(BH114,Fundamentus!A:U,15,FALSE)&gt;1,"Bom",IF(VLOOKUP(BH114,Fundamentus!A:U,15,FALSE)&lt;1,"Ruim","n/a"))</f>
        <v>Bom</v>
      </c>
      <c r="EZ114" s="20" t="str">
        <f>IF(VLOOKUP(BH114,Fundamentus!A:U,20,FALSE)&lt;0.5,"Baixa",IF(VLOOKUP(BH114,Fundamentus!A:U,20,FALSE)&lt;1,"Moderada",IF(VLOOKUP(BH114,Fundamentus!A:U,20,FALSE)&lt;2,"Alerta",IF(VLOOKUP(BH114,Fundamentus!A:U,20,FALSE)&gt;2,"Alta","n/a"))))</f>
        <v>Alta</v>
      </c>
      <c r="FA114" s="10"/>
    </row>
    <row r="115" spans="1:157" s="2" customFormat="1" ht="11.25" hidden="1" x14ac:dyDescent="0.2">
      <c r="A115" s="4">
        <v>1.53</v>
      </c>
      <c r="B115" s="4">
        <v>1.51</v>
      </c>
      <c r="C115" s="4">
        <v>1.34</v>
      </c>
      <c r="D115" s="4">
        <v>1.43</v>
      </c>
      <c r="E115" s="4">
        <v>1.33</v>
      </c>
      <c r="F115" s="4">
        <v>1.31</v>
      </c>
      <c r="G115" s="4">
        <v>1.1000000000000001</v>
      </c>
      <c r="H115" s="4">
        <v>0.9</v>
      </c>
      <c r="I115" s="4">
        <v>0.51</v>
      </c>
      <c r="J115" s="4">
        <v>0.36</v>
      </c>
      <c r="K115" s="4">
        <v>0.32</v>
      </c>
      <c r="L115" s="4">
        <v>0.18</v>
      </c>
      <c r="M115" s="4">
        <v>0.37</v>
      </c>
      <c r="N115" s="4">
        <v>0.34</v>
      </c>
      <c r="O115" s="4">
        <v>0.31</v>
      </c>
      <c r="P115" s="4">
        <v>0.23</v>
      </c>
      <c r="Q115" s="4">
        <v>0.24</v>
      </c>
      <c r="R115" s="4">
        <v>0.21</v>
      </c>
      <c r="S115" s="4">
        <v>0.2</v>
      </c>
      <c r="T115" s="4">
        <v>0.28000000000000003</v>
      </c>
      <c r="U115" s="4">
        <v>0.3</v>
      </c>
      <c r="V115" s="4">
        <v>0.28999999999999998</v>
      </c>
      <c r="W115" s="4">
        <v>0.27</v>
      </c>
      <c r="X115" s="4">
        <v>0.26</v>
      </c>
      <c r="Y115" s="4">
        <v>0.28000000000000003</v>
      </c>
      <c r="Z115" s="4">
        <v>0.27</v>
      </c>
      <c r="AA115" s="4">
        <v>0.25</v>
      </c>
      <c r="AB115" s="4">
        <v>0.22</v>
      </c>
      <c r="AC115" s="4">
        <v>0.21</v>
      </c>
      <c r="AD115" s="4">
        <v>4</v>
      </c>
      <c r="AE115" s="4">
        <v>3.18</v>
      </c>
      <c r="AF115" s="4">
        <v>3.16</v>
      </c>
      <c r="AG115" s="4">
        <v>3.06</v>
      </c>
      <c r="AH115" s="4">
        <v>2.38</v>
      </c>
      <c r="AI115" s="4">
        <v>2.36</v>
      </c>
      <c r="AJ115" s="4">
        <v>2.71</v>
      </c>
      <c r="AK115" s="4">
        <v>2.59</v>
      </c>
      <c r="AL115" s="4">
        <v>2.48</v>
      </c>
      <c r="AM115" s="4">
        <v>2.4500000000000002</v>
      </c>
      <c r="AN115" s="4">
        <v>2.41</v>
      </c>
      <c r="AO115" s="4">
        <v>2.2999999999999998</v>
      </c>
      <c r="AP115" s="4">
        <v>2.27</v>
      </c>
      <c r="AQ115" s="4">
        <v>2.4</v>
      </c>
      <c r="AR115" s="4">
        <v>2.4</v>
      </c>
      <c r="AS115" s="4">
        <v>3.09</v>
      </c>
      <c r="AT115" s="4">
        <v>2.65</v>
      </c>
      <c r="AU115" s="4">
        <v>2.44</v>
      </c>
      <c r="AV115" s="4">
        <v>2.36</v>
      </c>
      <c r="AW115" s="4">
        <v>2.3199999999999998</v>
      </c>
      <c r="AX115" s="4">
        <v>2.37</v>
      </c>
      <c r="AY115" s="12">
        <v>2.25</v>
      </c>
      <c r="AZ115" s="12">
        <v>2.2400000000000002</v>
      </c>
      <c r="BA115" s="12">
        <v>2.16</v>
      </c>
      <c r="BB115" s="18">
        <v>2.16</v>
      </c>
      <c r="BC115" s="63">
        <v>2.0499999999999998</v>
      </c>
      <c r="BD115" s="63">
        <v>2</v>
      </c>
      <c r="BE115" s="63">
        <v>1.94</v>
      </c>
      <c r="BF115" s="63">
        <v>1.93</v>
      </c>
      <c r="BG115" s="91" cm="1">
        <f t="array" aca="1" ref="BG115" ca="1">_FV(EE115,"Preço")</f>
        <v>1.94</v>
      </c>
      <c r="BH115" s="93" t="s">
        <v>112</v>
      </c>
      <c r="BI115" s="32" cm="1">
        <f t="array" aca="1" ref="BI115" ca="1">_FV(EE115,"Beta")</f>
        <v>1.4166000000000001</v>
      </c>
      <c r="BJ115" s="96" cm="1">
        <f t="array" aca="1" ref="BJ115" ca="1">_FV(EE115,"Variação (%)",TRUE)</f>
        <v>1.0417000000000001E-2</v>
      </c>
      <c r="BK115" s="49"/>
      <c r="BL115" s="49"/>
      <c r="BN115" s="32"/>
      <c r="BO115" s="20" cm="1">
        <f t="array" aca="1" ref="BO115" ca="1">_FV(EE115,"Baixo")</f>
        <v>1.92</v>
      </c>
      <c r="BP115" s="20" cm="1">
        <f t="array" aca="1" ref="BP115" ca="1">_FV(EE115,"Alto")</f>
        <v>1.99</v>
      </c>
      <c r="BQ115" s="32"/>
      <c r="BR115" s="74">
        <f ca="1">SQRT(22.5*(BG115/VLOOKUP(BH115,Fundamentus!A:U,3,FALSE))*(BG115/VLOOKUP(BH115,Fundamentus!A:U,4,FALSE)))</f>
        <v>37.258732060472724</v>
      </c>
      <c r="BT115" s="73">
        <f t="shared" ca="1" si="99"/>
        <v>5.1813471502590719E-3</v>
      </c>
      <c r="BU115" s="36">
        <f t="shared" si="100"/>
        <v>0.26797385620915026</v>
      </c>
      <c r="BV115" s="8"/>
      <c r="BW115" s="72">
        <f t="shared" si="101"/>
        <v>0.18</v>
      </c>
      <c r="BX115" s="72">
        <f t="shared" si="102"/>
        <v>1.5251724137931031</v>
      </c>
      <c r="BY115" s="72">
        <f t="shared" si="103"/>
        <v>4</v>
      </c>
      <c r="BZ115" s="17"/>
      <c r="CA115" s="17"/>
      <c r="CB115" s="43">
        <f t="shared" si="104"/>
        <v>1.7805721760475581</v>
      </c>
      <c r="CC115" s="18">
        <f t="shared" si="105"/>
        <v>1.8775257731958845</v>
      </c>
      <c r="CD115" s="43">
        <f t="shared" si="106"/>
        <v>1.9744793703442109</v>
      </c>
      <c r="CE115" s="98">
        <f t="shared" ca="1" si="107"/>
        <v>0.64437244869355348</v>
      </c>
      <c r="CF115" s="17"/>
      <c r="CG115" s="20">
        <f t="shared" si="108"/>
        <v>-3.7466666666666666</v>
      </c>
      <c r="CH115" s="20">
        <f t="shared" si="109"/>
        <v>-1.7833333333333332</v>
      </c>
      <c r="CI115" s="20">
        <f t="shared" si="110"/>
        <v>7.333333333333325E-2</v>
      </c>
      <c r="CJ115" s="49">
        <f t="shared" si="111"/>
        <v>2.0366666666666666</v>
      </c>
      <c r="CK115" s="20">
        <f t="shared" si="112"/>
        <v>3.8933333333333331</v>
      </c>
      <c r="CL115" s="20">
        <f t="shared" si="113"/>
        <v>5.8566666666666665</v>
      </c>
      <c r="CM115" s="20">
        <f t="shared" si="114"/>
        <v>7.7133333333333329</v>
      </c>
      <c r="CN115" s="2" cm="1">
        <f t="array" aca="1" ref="CN115" ca="1">MAX(_xlfn._xlws.FILTER(CG115:CM115,CG115:CM115&lt;BG115))</f>
        <v>7.333333333333325E-2</v>
      </c>
      <c r="CO115" s="2" cm="1">
        <f t="array" aca="1" ref="CO115" ca="1">MIN(_xlfn._xlws.FILTER($CG115:$CM115,$CG115:$CM115&gt;BG115))</f>
        <v>2.0366666666666666</v>
      </c>
      <c r="CP115" s="19">
        <f t="shared" ca="1" si="141"/>
        <v>26.772727272727302</v>
      </c>
      <c r="CQ115" s="23">
        <f t="shared" ca="1" si="142"/>
        <v>-13.386363636363651</v>
      </c>
      <c r="CR115" s="23">
        <f t="shared" ca="1" si="143"/>
        <v>-8.9242424242424345</v>
      </c>
      <c r="CS115" s="23">
        <f t="shared" ca="1" si="144"/>
        <v>-5.3545454545454607</v>
      </c>
      <c r="CT115" s="23">
        <f t="shared" ca="1" si="145"/>
        <v>-2.974747474747478</v>
      </c>
      <c r="CU115" s="23">
        <f t="shared" ca="1" si="146"/>
        <v>-1.5748663101604294</v>
      </c>
      <c r="CV115" s="23">
        <f t="shared" ca="1" si="147"/>
        <v>-0.81129476584022131</v>
      </c>
      <c r="CW115" s="23">
        <f t="shared" ca="1" si="148"/>
        <v>-0.41188811188811236</v>
      </c>
      <c r="CX115" s="24">
        <f t="shared" ca="1" si="149"/>
        <v>0.41188811188811236</v>
      </c>
      <c r="CY115" s="24">
        <f t="shared" ca="1" si="150"/>
        <v>0.81129476584022131</v>
      </c>
      <c r="CZ115" s="24">
        <f t="shared" ca="1" si="151"/>
        <v>1.5748663101604294</v>
      </c>
      <c r="DA115" s="24">
        <f t="shared" ca="1" si="152"/>
        <v>2.974747474747478</v>
      </c>
      <c r="DB115" s="24">
        <f t="shared" ca="1" si="153"/>
        <v>5.3545454545454607</v>
      </c>
      <c r="DC115" s="24">
        <f t="shared" ca="1" si="154"/>
        <v>8.9242424242424345</v>
      </c>
      <c r="DD115" s="24">
        <f t="shared" ca="1" si="155"/>
        <v>13.386363636363651</v>
      </c>
      <c r="DF115" s="19" cm="1">
        <f t="array" aca="1" ref="DF115" ca="1">MAX(_xlfn._xlws.FILTER(CQ115:DD115,CQ115:DD115&lt;BJ115))</f>
        <v>-0.41188811188811236</v>
      </c>
      <c r="DG115" s="19" cm="1">
        <f t="array" aca="1" ref="DG115" ca="1">MIN(_xlfn._xlws.FILTER(CQ115:DD115,CQ115:DD115&gt;BJ115))</f>
        <v>0.41188811188811236</v>
      </c>
      <c r="DH115" s="2" cm="1">
        <f t="array" aca="1" ref="DH115" ca="1">_FV(EE115,"Fechamento anterior",TRUE)</f>
        <v>1.92</v>
      </c>
      <c r="DI115" s="36">
        <f t="shared" ca="1" si="115"/>
        <v>0.51264501980758348</v>
      </c>
      <c r="DJ115" s="18">
        <f t="shared" ca="1" si="156"/>
        <v>1.1291748251748244</v>
      </c>
      <c r="DK115" s="18">
        <f t="shared" ca="1" si="157"/>
        <v>2.7108251748251755</v>
      </c>
      <c r="DL115" s="9"/>
      <c r="DM115" s="9"/>
      <c r="DN115" s="9"/>
      <c r="DO115" s="9"/>
      <c r="DP115" s="79">
        <v>2.7859356055503166E-2</v>
      </c>
      <c r="DQ115" s="79">
        <v>1.3507566572365171E-2</v>
      </c>
      <c r="DR115" s="79">
        <v>2.7859356055503166E-2</v>
      </c>
      <c r="DS115" s="79">
        <f t="shared" ca="1" si="116"/>
        <v>0.82377622377622473</v>
      </c>
      <c r="DT115" s="47"/>
      <c r="DU115" s="43">
        <f t="shared" si="117"/>
        <v>4.8476798574163253E-2</v>
      </c>
      <c r="DV115" s="83">
        <f t="shared" ca="1" si="118"/>
        <v>1.8427</v>
      </c>
      <c r="DW115" s="83">
        <f t="shared" ca="1" si="119"/>
        <v>0.37490000000000001</v>
      </c>
      <c r="DX115" s="83">
        <f t="shared" ca="1" si="120"/>
        <v>1.4678</v>
      </c>
      <c r="DY115" s="67"/>
      <c r="DZ115" s="67"/>
      <c r="EA115" s="85"/>
      <c r="EB115" s="44">
        <v>7200</v>
      </c>
      <c r="EC115" s="44" cm="1">
        <f t="array" aca="1" ref="EC115" ca="1">_FV(EE115,"Volume")</f>
        <v>2300</v>
      </c>
      <c r="EE115" s="2" t="e" vm="114">
        <v>#VALUE!</v>
      </c>
      <c r="EG115" s="10" cm="1">
        <f t="array" aca="1" ref="EG115" ca="1">_FV(EE115,"Ações em circulação",TRUE)</f>
        <v>12318720</v>
      </c>
      <c r="EH115" s="21">
        <f>VLOOKUP(BH115,Fundamentus!A:U,5,FALSE)</f>
        <v>0.104</v>
      </c>
      <c r="EI115" s="2">
        <f t="shared" ca="1" si="121"/>
        <v>229791507.69230771</v>
      </c>
      <c r="EJ115" s="20">
        <v>-243992267.51999995</v>
      </c>
      <c r="EK115" s="20">
        <f t="shared" ca="1" si="122"/>
        <v>-245256476.16</v>
      </c>
      <c r="EM115" s="40" t="str">
        <f>IF(VLOOKUP(BH115,Fundamentus!A:U,3,FALSE)&lt;15,"Bom",IF(VLOOKUP(BH115,Fundamentus!A:U,3,FALSE)&gt;15,"Ruim","n/a"))</f>
        <v>Bom</v>
      </c>
      <c r="EN115" s="36" t="str">
        <f>IF(VLOOKUP(BH115,Fundamentus!A:U,4,FALSE)&lt;1,"Baixo",IF(VLOOKUP(BH115,Fundamentus!A:U,4,FALSE)&lt;1.5,"Moderado",IF(VLOOKUP(BH115,Fundamentus!A:U,4,FALSE)&gt;1.5,"Alto","n/a")))</f>
        <v>Baixo</v>
      </c>
      <c r="EO115" s="20" t="str">
        <f>IF(VLOOKUP(BH115,Fundamentus!A:U,8,FALSE)&lt;0,"Risco elevado",IF(VLOOKUP(BH115,Fundamentus!A:U,8,FALSE)&lt;1,"Saudável",IF(VLOOKUP(BH115,Fundamentus!A:U,8,FALSE)&lt;3,"Estável",IF(VLOOKUP(BH115,Fundamentus!A:U,8,FALSE)&gt;3,"Alerta","n/a"))))</f>
        <v>Saudável</v>
      </c>
      <c r="EP115" s="36" t="str">
        <f t="shared" si="123"/>
        <v>Ruim</v>
      </c>
      <c r="EQ115" s="20" t="str">
        <f>IF(VLOOKUP(BH115,Fundamentus!A:U,12,FALSE)&lt;2,"Subvalorizada",IF(VLOOKUP(BH115,Fundamentus!A:U,12,FALSE)&lt;6,"Muita barata",IF(VLOOKUP(BH115,Fundamentus!A:U,12,FALSE)&lt;6,"Barata",IF(VLOOKUP(BH115,Fundamentus!A:U,12,FALSE)&lt;8,"Atrativa",IF(VLOOKUP(BH115,Fundamentus!A:U,12,FALSE)&gt;8,"Supervalorizada","n/a")))))</f>
        <v>Subvalorizada</v>
      </c>
      <c r="ES115" s="20" t="str">
        <f>IF(VLOOKUP(BH115,Fundamentus!A:U,17,FALSE)&lt;0.1,"Fraco retorno",IF(VLOOKUP(BH115,Fundamentus!A:U,17,FALSE)&gt;0.1,"Bom retorno","n/a"))</f>
        <v>Bom retorno</v>
      </c>
      <c r="ET115" s="20" t="str">
        <f>IF(VLOOKUP(BH115,Fundamentus!A:U,16,FALSE)&lt;0.1,"Ineficiente",IF(VLOOKUP(BH115,Fundamentus!A:U,16,FALSE)&gt;0.1,"Eficiente","n/a"))</f>
        <v>Ineficiente</v>
      </c>
      <c r="EU115" s="41" t="str">
        <f>IF(VLOOKUP(BH115,Fundamentus!A:U,16,FALSE)&lt;0.1,"Oper. Ineficiente",IF(VLOOKUP(BH115,Fundamentus!A:U,16,FALSE)&gt;0.1,"Oper.Eficiente","n/a"))</f>
        <v>Oper. Ineficiente</v>
      </c>
      <c r="EV115" s="42">
        <f>VLOOKUP(BH115,Fundamentus!A:U,14,FALSE)</f>
        <v>-1.0672999999999999</v>
      </c>
      <c r="EW115" s="20" t="str">
        <f>IF(VLOOKUP(BH115,Fundamentus!A:U,21,FALSE)&lt;0,"Negativo",IF(VLOOKUP(BH115,Fundamentus!A:U,21,FALSE)&lt;0.05,"Fraco",IF(VLOOKUP(BH115,Fundamentus!A:U,21,FALSE)&lt;0.1,"Bom",IF(VLOOKUP(BH115,Fundamentus!A:U,21,FALSE)&gt;0.1,"Muito bom","n/a"))))</f>
        <v>Muito bom</v>
      </c>
      <c r="EY115" s="37" t="str">
        <f>IF(VLOOKUP(BH115,Fundamentus!A:U,15,FALSE)&gt;1,"Bom",IF(VLOOKUP(BH115,Fundamentus!A:U,15,FALSE)&lt;1,"Ruim","n/a"))</f>
        <v>Bom</v>
      </c>
      <c r="EZ115" s="20" t="str">
        <f>IF(VLOOKUP(BH115,Fundamentus!A:U,20,FALSE)&lt;0.5,"Baixa",IF(VLOOKUP(BH115,Fundamentus!A:U,20,FALSE)&lt;1,"Moderada",IF(VLOOKUP(BH115,Fundamentus!A:U,20,FALSE)&lt;2,"Alerta",IF(VLOOKUP(BH115,Fundamentus!A:U,20,FALSE)&gt;2,"Alta","n/a"))))</f>
        <v>Baixa</v>
      </c>
      <c r="FA115" s="10"/>
    </row>
    <row r="116" spans="1:157" s="2" customFormat="1" ht="11.25" hidden="1" x14ac:dyDescent="0.2">
      <c r="A116" s="4">
        <v>7.66</v>
      </c>
      <c r="B116" s="4">
        <v>7.5</v>
      </c>
      <c r="C116" s="4">
        <v>7.35</v>
      </c>
      <c r="D116" s="4">
        <v>7.29</v>
      </c>
      <c r="E116" s="4">
        <v>7</v>
      </c>
      <c r="F116" s="4">
        <v>6.63</v>
      </c>
      <c r="G116" s="4">
        <v>6.71</v>
      </c>
      <c r="H116" s="4">
        <v>7.17</v>
      </c>
      <c r="I116" s="4">
        <v>7.6</v>
      </c>
      <c r="J116" s="4">
        <v>7.71</v>
      </c>
      <c r="K116" s="4">
        <v>7.64</v>
      </c>
      <c r="L116" s="4">
        <v>7.96</v>
      </c>
      <c r="M116" s="4">
        <v>6.05</v>
      </c>
      <c r="N116" s="4">
        <v>5.88</v>
      </c>
      <c r="O116" s="4">
        <v>5.85</v>
      </c>
      <c r="P116" s="4">
        <v>6.02</v>
      </c>
      <c r="Q116" s="4">
        <v>6.41</v>
      </c>
      <c r="R116" s="4">
        <v>6.09</v>
      </c>
      <c r="S116" s="4">
        <v>5.87</v>
      </c>
      <c r="T116" s="4">
        <v>6.06</v>
      </c>
      <c r="U116" s="4">
        <v>5.75</v>
      </c>
      <c r="V116" s="4">
        <v>6.01</v>
      </c>
      <c r="W116" s="4">
        <v>6.09</v>
      </c>
      <c r="X116" s="4">
        <v>6.08</v>
      </c>
      <c r="Y116" s="4">
        <v>5.99</v>
      </c>
      <c r="Z116" s="4">
        <v>6.46</v>
      </c>
      <c r="AA116" s="4">
        <v>6.08</v>
      </c>
      <c r="AB116" s="4">
        <v>6.16</v>
      </c>
      <c r="AC116" s="4">
        <v>5.95</v>
      </c>
      <c r="AD116" s="4">
        <v>6.14</v>
      </c>
      <c r="AE116" s="4">
        <v>6.1</v>
      </c>
      <c r="AF116" s="4">
        <v>5.9</v>
      </c>
      <c r="AG116" s="4">
        <v>5.85</v>
      </c>
      <c r="AH116" s="4">
        <v>5.3</v>
      </c>
      <c r="AI116" s="4">
        <v>5.25</v>
      </c>
      <c r="AJ116" s="4">
        <v>4.9800000000000004</v>
      </c>
      <c r="AK116" s="4">
        <v>4.8099999999999996</v>
      </c>
      <c r="AL116" s="4">
        <v>5.0999999999999996</v>
      </c>
      <c r="AM116" s="4">
        <v>5.31</v>
      </c>
      <c r="AN116" s="4">
        <v>5.44</v>
      </c>
      <c r="AO116" s="4">
        <v>5.5</v>
      </c>
      <c r="AP116" s="4">
        <v>5.9</v>
      </c>
      <c r="AQ116" s="4">
        <v>5.9</v>
      </c>
      <c r="AR116" s="4">
        <v>5.66</v>
      </c>
      <c r="AS116" s="4">
        <v>5.92</v>
      </c>
      <c r="AT116" s="4">
        <v>5.85</v>
      </c>
      <c r="AU116" s="4">
        <v>5.83</v>
      </c>
      <c r="AV116" s="4">
        <v>5.7</v>
      </c>
      <c r="AW116" s="4">
        <v>5.31</v>
      </c>
      <c r="AX116" s="4">
        <v>5.36</v>
      </c>
      <c r="AY116" s="12">
        <v>5.65</v>
      </c>
      <c r="AZ116" s="12">
        <v>5.74</v>
      </c>
      <c r="BA116" s="12">
        <v>5.51</v>
      </c>
      <c r="BB116" s="18">
        <v>5.51</v>
      </c>
      <c r="BC116" s="63">
        <v>5.53</v>
      </c>
      <c r="BD116" s="63">
        <v>5.25</v>
      </c>
      <c r="BE116" s="63">
        <v>5.0999999999999996</v>
      </c>
      <c r="BF116" s="63">
        <v>5.13</v>
      </c>
      <c r="BG116" s="91" cm="1">
        <f t="array" aca="1" ref="BG116" ca="1">_FV(EE116,"Preço")</f>
        <v>4.76</v>
      </c>
      <c r="BH116" s="93" t="s">
        <v>113</v>
      </c>
      <c r="BI116" s="32" cm="1">
        <f t="array" aca="1" ref="BI116" ca="1">_FV(EE116,"Beta")</f>
        <v>0.91700000000000004</v>
      </c>
      <c r="BJ116" s="96" cm="1">
        <f t="array" aca="1" ref="BJ116" ca="1">_FV(EE116,"Variação (%)",TRUE)</f>
        <v>-4.4177000000000001E-2</v>
      </c>
      <c r="BK116" s="49"/>
      <c r="BL116" s="49"/>
      <c r="BN116" s="32"/>
      <c r="BO116" s="20" cm="1">
        <f t="array" aca="1" ref="BO116" ca="1">_FV(EE116,"Baixo")</f>
        <v>4.76</v>
      </c>
      <c r="BP116" s="20" cm="1">
        <f t="array" aca="1" ref="BP116" ca="1">_FV(EE116,"Alto")</f>
        <v>5.03</v>
      </c>
      <c r="BQ116" s="32"/>
      <c r="BR116" s="74">
        <f ca="1">SQRT(22.5*(BG116/VLOOKUP(BH116,Fundamentus!A:U,3,FALSE))*(BG116/VLOOKUP(BH116,Fundamentus!A:U,4,FALSE)))</f>
        <v>6.5987331238464142</v>
      </c>
      <c r="BT116" s="73">
        <f t="shared" ca="1" si="99"/>
        <v>-7.2124756335282675E-2</v>
      </c>
      <c r="BU116" s="36">
        <f t="shared" si="100"/>
        <v>-0.33420365535248048</v>
      </c>
      <c r="BV116" s="8"/>
      <c r="BW116" s="72">
        <f t="shared" si="101"/>
        <v>4.8099999999999996</v>
      </c>
      <c r="BX116" s="72">
        <f t="shared" si="102"/>
        <v>6.0612068965517221</v>
      </c>
      <c r="BY116" s="72">
        <f t="shared" si="103"/>
        <v>7.96</v>
      </c>
      <c r="BZ116" s="17"/>
      <c r="CA116" s="17"/>
      <c r="CB116" s="43">
        <f t="shared" si="104"/>
        <v>4.580103394723686</v>
      </c>
      <c r="CC116" s="18">
        <f t="shared" si="105"/>
        <v>4.9196251171509857</v>
      </c>
      <c r="CD116" s="43">
        <f t="shared" si="106"/>
        <v>5.2591468395782854</v>
      </c>
      <c r="CE116" s="98">
        <f t="shared" ca="1" si="107"/>
        <v>-0.47014699386477621</v>
      </c>
      <c r="CF116" s="17"/>
      <c r="CG116" s="20">
        <f t="shared" si="108"/>
        <v>0.82333333333333147</v>
      </c>
      <c r="CH116" s="20">
        <f t="shared" si="109"/>
        <v>2.8166666666666655</v>
      </c>
      <c r="CI116" s="20">
        <f t="shared" si="110"/>
        <v>3.9733333333333318</v>
      </c>
      <c r="CJ116" s="49">
        <f t="shared" si="111"/>
        <v>5.9666666666666659</v>
      </c>
      <c r="CK116" s="20">
        <f t="shared" si="112"/>
        <v>7.1233333333333322</v>
      </c>
      <c r="CL116" s="20">
        <f t="shared" si="113"/>
        <v>9.1166666666666671</v>
      </c>
      <c r="CM116" s="20">
        <f t="shared" si="114"/>
        <v>10.273333333333333</v>
      </c>
      <c r="CN116" s="2" cm="1">
        <f t="array" aca="1" ref="CN116" ca="1">MAX(_xlfn._xlws.FILTER(CG116:CM116,CG116:CM116&lt;BG116))</f>
        <v>3.9733333333333318</v>
      </c>
      <c r="CO116" s="2" cm="1">
        <f t="array" aca="1" ref="CO116" ca="1">MIN(_xlfn._xlws.FILTER($CG116:$CM116,$CG116:$CM116&gt;BG116))</f>
        <v>5.9666666666666659</v>
      </c>
      <c r="CP116" s="19">
        <f t="shared" ca="1" si="141"/>
        <v>0.50167785234899376</v>
      </c>
      <c r="CQ116" s="23">
        <f t="shared" ca="1" si="142"/>
        <v>-0.25083892617449688</v>
      </c>
      <c r="CR116" s="23">
        <f t="shared" ca="1" si="143"/>
        <v>-0.16722595078299793</v>
      </c>
      <c r="CS116" s="23">
        <f t="shared" ca="1" si="144"/>
        <v>-0.10033557046979875</v>
      </c>
      <c r="CT116" s="23">
        <f t="shared" ca="1" si="145"/>
        <v>-5.5741983594332641E-2</v>
      </c>
      <c r="CU116" s="23">
        <f t="shared" ca="1" si="146"/>
        <v>-2.9510461902881986E-2</v>
      </c>
      <c r="CV116" s="23">
        <f t="shared" ca="1" si="147"/>
        <v>-1.520235916209072E-2</v>
      </c>
      <c r="CW116" s="23">
        <f t="shared" ca="1" si="148"/>
        <v>-7.7181208053691344E-3</v>
      </c>
      <c r="CX116" s="24">
        <f t="shared" ca="1" si="149"/>
        <v>7.7181208053691344E-3</v>
      </c>
      <c r="CY116" s="24">
        <f t="shared" ca="1" si="150"/>
        <v>1.520235916209072E-2</v>
      </c>
      <c r="CZ116" s="24">
        <f t="shared" ca="1" si="151"/>
        <v>2.9510461902881986E-2</v>
      </c>
      <c r="DA116" s="24">
        <f t="shared" ca="1" si="152"/>
        <v>5.5741983594332641E-2</v>
      </c>
      <c r="DB116" s="24">
        <f t="shared" ca="1" si="153"/>
        <v>0.10033557046979875</v>
      </c>
      <c r="DC116" s="24">
        <f t="shared" ca="1" si="154"/>
        <v>0.16722595078299793</v>
      </c>
      <c r="DD116" s="24">
        <f t="shared" ca="1" si="155"/>
        <v>0.25083892617449688</v>
      </c>
      <c r="DF116" s="19" cm="1">
        <f t="array" aca="1" ref="DF116" ca="1">MAX(_xlfn._xlws.FILTER(CQ116:DD116,CQ116:DD116&lt;BJ116))</f>
        <v>-5.5741983594332641E-2</v>
      </c>
      <c r="DG116" s="19" cm="1">
        <f t="array" aca="1" ref="DG116" ca="1">MIN(_xlfn._xlws.FILTER(CQ116:DD116,CQ116:DD116&gt;BJ116))</f>
        <v>-2.9510461902881986E-2</v>
      </c>
      <c r="DH116" s="2" cm="1">
        <f t="array" aca="1" ref="DH116" ca="1">_FV(EE116,"Fechamento anterior",TRUE)</f>
        <v>4.9800000000000004</v>
      </c>
      <c r="DI116" s="36">
        <f t="shared" ca="1" si="115"/>
        <v>0.44089233186927734</v>
      </c>
      <c r="DJ116" s="18">
        <f t="shared" ca="1" si="156"/>
        <v>4.7024049217002242</v>
      </c>
      <c r="DK116" s="18">
        <f t="shared" ca="1" si="157"/>
        <v>4.8330378997236485</v>
      </c>
      <c r="DL116" s="9"/>
      <c r="DM116" s="9"/>
      <c r="DN116" s="9"/>
      <c r="DO116" s="9"/>
      <c r="DP116" s="79">
        <v>8.152139299680285E-3</v>
      </c>
      <c r="DQ116" s="79">
        <v>1.5584972190565254E-2</v>
      </c>
      <c r="DR116" s="79">
        <v>8.152139299680285E-3</v>
      </c>
      <c r="DS116" s="79">
        <f t="shared" ca="1" si="116"/>
        <v>2.6231521691450654E-2</v>
      </c>
      <c r="DT116" s="47"/>
      <c r="DU116" s="43">
        <f t="shared" si="117"/>
        <v>0.16976086121364981</v>
      </c>
      <c r="DV116" s="83">
        <f t="shared" ca="1" si="118"/>
        <v>1.3431</v>
      </c>
      <c r="DW116" s="83">
        <f t="shared" ca="1" si="119"/>
        <v>5.3346999999999998</v>
      </c>
      <c r="DX116" s="83">
        <f t="shared" ca="1" si="120"/>
        <v>-3.9916</v>
      </c>
      <c r="DY116" s="67"/>
      <c r="DZ116" s="67"/>
      <c r="EA116" s="85"/>
      <c r="EB116" s="44">
        <v>176600</v>
      </c>
      <c r="EC116" s="44" cm="1">
        <f t="array" aca="1" ref="EC116" ca="1">_FV(EE116,"Volume")</f>
        <v>659100</v>
      </c>
      <c r="EE116" s="2" t="e" vm="115">
        <v>#VALUE!</v>
      </c>
      <c r="EG116" s="10" cm="1">
        <f t="array" aca="1" ref="EG116" ca="1">_FV(EE116,"Ações em circulação",TRUE)</f>
        <v>1253079000</v>
      </c>
      <c r="EH116" s="21">
        <f>VLOOKUP(BH116,Fundamentus!A:U,5,FALSE)</f>
        <v>0.23899999999999999</v>
      </c>
      <c r="EI116" s="2">
        <f t="shared" ca="1" si="121"/>
        <v>24956719832.635983</v>
      </c>
      <c r="EJ116" s="20">
        <v>309311278.68200839</v>
      </c>
      <c r="EK116" s="20">
        <f t="shared" ca="1" si="122"/>
        <v>287002278.07531381</v>
      </c>
      <c r="EM116" s="40" t="str">
        <f>IF(VLOOKUP(BH116,Fundamentus!A:U,3,FALSE)&lt;15,"Bom",IF(VLOOKUP(BH116,Fundamentus!A:U,3,FALSE)&gt;15,"Ruim","n/a"))</f>
        <v>Ruim</v>
      </c>
      <c r="EN116" s="36" t="str">
        <f>IF(VLOOKUP(BH116,Fundamentus!A:U,4,FALSE)&lt;1,"Baixo",IF(VLOOKUP(BH116,Fundamentus!A:U,4,FALSE)&lt;1.5,"Moderado",IF(VLOOKUP(BH116,Fundamentus!A:U,4,FALSE)&gt;1.5,"Alto","n/a")))</f>
        <v>Baixo</v>
      </c>
      <c r="EO116" s="20" t="str">
        <f>IF(VLOOKUP(BH116,Fundamentus!A:U,8,FALSE)&lt;0,"Risco elevado",IF(VLOOKUP(BH116,Fundamentus!A:U,8,FALSE)&lt;1,"Saudável",IF(VLOOKUP(BH116,Fundamentus!A:U,8,FALSE)&lt;3,"Estável",IF(VLOOKUP(BH116,Fundamentus!A:U,8,FALSE)&gt;3,"Alerta","n/a"))))</f>
        <v>Saudável</v>
      </c>
      <c r="EP116" s="36" t="str">
        <f t="shared" si="123"/>
        <v>Ruim</v>
      </c>
      <c r="EQ116" s="20" t="str">
        <f>IF(VLOOKUP(BH116,Fundamentus!A:U,12,FALSE)&lt;2,"Subvalorizada",IF(VLOOKUP(BH116,Fundamentus!A:U,12,FALSE)&lt;6,"Muita barata",IF(VLOOKUP(BH116,Fundamentus!A:U,12,FALSE)&lt;6,"Barata",IF(VLOOKUP(BH116,Fundamentus!A:U,12,FALSE)&lt;8,"Atrativa",IF(VLOOKUP(BH116,Fundamentus!A:U,12,FALSE)&gt;8,"Supervalorizada","n/a")))))</f>
        <v>Muita barata</v>
      </c>
      <c r="ES116" s="20" t="str">
        <f>IF(VLOOKUP(BH116,Fundamentus!A:U,17,FALSE)&lt;0.1,"Fraco retorno",IF(VLOOKUP(BH116,Fundamentus!A:U,17,FALSE)&gt;0.1,"Bom retorno","n/a"))</f>
        <v>Fraco retorno</v>
      </c>
      <c r="ET116" s="20" t="str">
        <f>IF(VLOOKUP(BH116,Fundamentus!A:U,16,FALSE)&lt;0.1,"Ineficiente",IF(VLOOKUP(BH116,Fundamentus!A:U,16,FALSE)&gt;0.1,"Eficiente","n/a"))</f>
        <v>Ineficiente</v>
      </c>
      <c r="EU116" s="41" t="str">
        <f>IF(VLOOKUP(BH116,Fundamentus!A:U,16,FALSE)&lt;0.1,"Oper. Ineficiente",IF(VLOOKUP(BH116,Fundamentus!A:U,16,FALSE)&gt;0.1,"Oper.Eficiente","n/a"))</f>
        <v>Oper. Ineficiente</v>
      </c>
      <c r="EV116" s="42">
        <f>VLOOKUP(BH116,Fundamentus!A:U,14,FALSE)</f>
        <v>1.15E-2</v>
      </c>
      <c r="EW116" s="20" t="str">
        <f>IF(VLOOKUP(BH116,Fundamentus!A:U,21,FALSE)&lt;0,"Negativo",IF(VLOOKUP(BH116,Fundamentus!A:U,21,FALSE)&lt;0.05,"Fraco",IF(VLOOKUP(BH116,Fundamentus!A:U,21,FALSE)&lt;0.1,"Bom",IF(VLOOKUP(BH116,Fundamentus!A:U,21,FALSE)&gt;0.1,"Muito bom","n/a"))))</f>
        <v>Fraco</v>
      </c>
      <c r="EY116" s="37" t="str">
        <f>IF(VLOOKUP(BH116,Fundamentus!A:U,15,FALSE)&gt;1,"Bom",IF(VLOOKUP(BH116,Fundamentus!A:U,15,FALSE)&lt;1,"Ruim","n/a"))</f>
        <v>Bom</v>
      </c>
      <c r="EZ116" s="20" t="str">
        <f>IF(VLOOKUP(BH116,Fundamentus!A:U,20,FALSE)&lt;0.5,"Baixa",IF(VLOOKUP(BH116,Fundamentus!A:U,20,FALSE)&lt;1,"Moderada",IF(VLOOKUP(BH116,Fundamentus!A:U,20,FALSE)&lt;2,"Alerta",IF(VLOOKUP(BH116,Fundamentus!A:U,20,FALSE)&gt;2,"Alta","n/a"))))</f>
        <v>Baixa</v>
      </c>
      <c r="FA116" s="10"/>
    </row>
    <row r="117" spans="1:157" s="2" customFormat="1" ht="11.25" hidden="1" x14ac:dyDescent="0.2">
      <c r="A117" s="4">
        <v>20.61</v>
      </c>
      <c r="B117" s="4">
        <v>18.97</v>
      </c>
      <c r="C117" s="4">
        <v>18.850000000000001</v>
      </c>
      <c r="D117" s="4">
        <v>18.78</v>
      </c>
      <c r="E117" s="4">
        <v>18.32</v>
      </c>
      <c r="F117" s="4">
        <v>19.3</v>
      </c>
      <c r="G117" s="4">
        <v>18.55</v>
      </c>
      <c r="H117" s="4">
        <v>18.95</v>
      </c>
      <c r="I117" s="4">
        <v>20.78</v>
      </c>
      <c r="J117" s="4">
        <v>21.72</v>
      </c>
      <c r="K117" s="4">
        <v>21.01</v>
      </c>
      <c r="L117" s="4">
        <v>21.66</v>
      </c>
      <c r="M117" s="4">
        <v>21.58</v>
      </c>
      <c r="N117" s="4">
        <v>21.93</v>
      </c>
      <c r="O117" s="4">
        <v>23.31</v>
      </c>
      <c r="P117" s="4">
        <v>23.37</v>
      </c>
      <c r="Q117" s="4">
        <v>24</v>
      </c>
      <c r="R117" s="4">
        <v>23.82</v>
      </c>
      <c r="S117" s="4">
        <v>24.49</v>
      </c>
      <c r="T117" s="4">
        <v>25.49</v>
      </c>
      <c r="U117" s="4">
        <v>24.39</v>
      </c>
      <c r="V117" s="4">
        <v>22.7</v>
      </c>
      <c r="W117" s="4">
        <v>22.64</v>
      </c>
      <c r="X117" s="4">
        <v>22.21</v>
      </c>
      <c r="Y117" s="4">
        <v>23.63</v>
      </c>
      <c r="Z117" s="4">
        <v>24.55</v>
      </c>
      <c r="AA117" s="4">
        <v>23.96</v>
      </c>
      <c r="AB117" s="4">
        <v>22.7</v>
      </c>
      <c r="AC117" s="4">
        <v>22.66</v>
      </c>
      <c r="AD117" s="4">
        <v>22.75</v>
      </c>
      <c r="AE117" s="4">
        <v>20.56</v>
      </c>
      <c r="AF117" s="4">
        <v>20.71</v>
      </c>
      <c r="AG117" s="4">
        <v>19.52</v>
      </c>
      <c r="AH117" s="4">
        <v>18.3</v>
      </c>
      <c r="AI117" s="4">
        <v>17.989999999999998</v>
      </c>
      <c r="AJ117" s="4">
        <v>17.3</v>
      </c>
      <c r="AK117" s="4">
        <v>18.100000000000001</v>
      </c>
      <c r="AL117" s="4">
        <v>19.52</v>
      </c>
      <c r="AM117" s="4">
        <v>20.399999999999999</v>
      </c>
      <c r="AN117" s="4">
        <v>21.62</v>
      </c>
      <c r="AO117" s="4">
        <v>22.35</v>
      </c>
      <c r="AP117" s="4">
        <v>23.24</v>
      </c>
      <c r="AQ117" s="4">
        <v>23.75</v>
      </c>
      <c r="AR117" s="4">
        <v>21.21</v>
      </c>
      <c r="AS117" s="4">
        <v>22.16</v>
      </c>
      <c r="AT117" s="4">
        <v>23.33</v>
      </c>
      <c r="AU117" s="4">
        <v>24.004999999999999</v>
      </c>
      <c r="AV117" s="4">
        <v>24.79</v>
      </c>
      <c r="AW117" s="4">
        <v>25.36</v>
      </c>
      <c r="AX117" s="4">
        <v>25.93</v>
      </c>
      <c r="AY117" s="12">
        <v>27.34</v>
      </c>
      <c r="AZ117" s="12">
        <v>27.25</v>
      </c>
      <c r="BA117" s="12">
        <v>27.55</v>
      </c>
      <c r="BB117" s="18">
        <v>29.65</v>
      </c>
      <c r="BC117" s="63">
        <v>29.73</v>
      </c>
      <c r="BD117" s="63">
        <v>29.81</v>
      </c>
      <c r="BE117" s="63">
        <v>28.66</v>
      </c>
      <c r="BF117" s="63">
        <v>29.61</v>
      </c>
      <c r="BG117" s="91" cm="1">
        <f t="array" aca="1" ref="BG117" ca="1">_FV(EE117,"Preço")</f>
        <v>29.09</v>
      </c>
      <c r="BH117" s="93" t="s">
        <v>114</v>
      </c>
      <c r="BI117" s="32" cm="1">
        <f t="array" aca="1" ref="BI117" ca="1">_FV(EE117,"Beta")</f>
        <v>1.0419</v>
      </c>
      <c r="BJ117" s="96" cm="1">
        <f t="array" aca="1" ref="BJ117" ca="1">_FV(EE117,"Variação (%)",TRUE)</f>
        <v>-2.3826E-2</v>
      </c>
      <c r="BK117" s="49"/>
      <c r="BL117" s="49"/>
      <c r="BN117" s="32"/>
      <c r="BO117" s="20" cm="1">
        <f t="array" aca="1" ref="BO117" ca="1">_FV(EE117,"Baixo")</f>
        <v>29.05</v>
      </c>
      <c r="BP117" s="20" cm="1">
        <f t="array" aca="1" ref="BP117" ca="1">_FV(EE117,"Alto")</f>
        <v>29.79</v>
      </c>
      <c r="BQ117" s="32"/>
      <c r="BR117" s="74">
        <f ca="1">SQRT(22.5*(BG117/VLOOKUP(BH117,Fundamentus!A:U,3,FALSE))*(BG117/VLOOKUP(BH117,Fundamentus!A:U,4,FALSE)))</f>
        <v>14.353036024139559</v>
      </c>
      <c r="BT117" s="73">
        <f t="shared" ca="1" si="99"/>
        <v>-1.7561634582911163E-2</v>
      </c>
      <c r="BU117" s="36">
        <f t="shared" si="100"/>
        <v>0.39058709364386224</v>
      </c>
      <c r="BV117" s="8"/>
      <c r="BW117" s="72">
        <f t="shared" si="101"/>
        <v>17.3</v>
      </c>
      <c r="BX117" s="72">
        <f t="shared" si="102"/>
        <v>22.71422413793103</v>
      </c>
      <c r="BY117" s="72">
        <f t="shared" si="103"/>
        <v>29.81</v>
      </c>
      <c r="BZ117" s="17"/>
      <c r="CA117" s="17"/>
      <c r="CB117" s="43">
        <f t="shared" si="104"/>
        <v>28.156254316779041</v>
      </c>
      <c r="CC117" s="18">
        <f t="shared" si="105"/>
        <v>29.082361761949414</v>
      </c>
      <c r="CD117" s="43">
        <f t="shared" si="106"/>
        <v>30.008469207119788</v>
      </c>
      <c r="CE117" s="98">
        <f t="shared" ca="1" si="107"/>
        <v>8.2476802129371873E-3</v>
      </c>
      <c r="CF117" s="17"/>
      <c r="CG117" s="20">
        <f t="shared" si="108"/>
        <v>8.8266666666666715</v>
      </c>
      <c r="CH117" s="20">
        <f t="shared" si="109"/>
        <v>13.063333333333336</v>
      </c>
      <c r="CI117" s="20">
        <f t="shared" si="110"/>
        <v>21.33666666666667</v>
      </c>
      <c r="CJ117" s="49">
        <f t="shared" si="111"/>
        <v>25.573333333333334</v>
      </c>
      <c r="CK117" s="20">
        <f t="shared" si="112"/>
        <v>33.846666666666664</v>
      </c>
      <c r="CL117" s="20">
        <f t="shared" si="113"/>
        <v>38.083333333333329</v>
      </c>
      <c r="CM117" s="20">
        <f t="shared" si="114"/>
        <v>46.356666666666669</v>
      </c>
      <c r="CN117" s="2" cm="1">
        <f t="array" aca="1" ref="CN117" ca="1">MAX(_xlfn._xlws.FILTER(CG117:CM117,CG117:CM117&lt;BG117))</f>
        <v>25.573333333333334</v>
      </c>
      <c r="CO117" s="2" cm="1">
        <f t="array" aca="1" ref="CO117" ca="1">MIN(_xlfn._xlws.FILTER($CG117:$CM117,$CG117:$CM117&gt;BG117))</f>
        <v>33.846666666666664</v>
      </c>
      <c r="CP117" s="19">
        <f t="shared" ca="1" si="141"/>
        <v>0.32351407716371194</v>
      </c>
      <c r="CQ117" s="23">
        <f t="shared" ca="1" si="142"/>
        <v>-0.16175703858185597</v>
      </c>
      <c r="CR117" s="23">
        <f t="shared" ca="1" si="143"/>
        <v>-0.10783802572123731</v>
      </c>
      <c r="CS117" s="23">
        <f t="shared" ca="1" si="144"/>
        <v>-6.4702815432742394E-2</v>
      </c>
      <c r="CT117" s="23">
        <f t="shared" ca="1" si="145"/>
        <v>-3.5946008573745775E-2</v>
      </c>
      <c r="CU117" s="23">
        <f t="shared" ca="1" si="146"/>
        <v>-1.9030239833159525E-2</v>
      </c>
      <c r="CV117" s="23">
        <f t="shared" ca="1" si="147"/>
        <v>-9.803456883748847E-3</v>
      </c>
      <c r="CW117" s="23">
        <f t="shared" ca="1" si="148"/>
        <v>-4.9771396486724918E-3</v>
      </c>
      <c r="CX117" s="24">
        <f t="shared" ca="1" si="149"/>
        <v>4.9771396486724918E-3</v>
      </c>
      <c r="CY117" s="24">
        <f t="shared" ca="1" si="150"/>
        <v>9.803456883748847E-3</v>
      </c>
      <c r="CZ117" s="24">
        <f t="shared" ca="1" si="151"/>
        <v>1.9030239833159525E-2</v>
      </c>
      <c r="DA117" s="24">
        <f t="shared" ca="1" si="152"/>
        <v>3.5946008573745775E-2</v>
      </c>
      <c r="DB117" s="24">
        <f t="shared" ca="1" si="153"/>
        <v>6.4702815432742394E-2</v>
      </c>
      <c r="DC117" s="24">
        <f t="shared" ca="1" si="154"/>
        <v>0.10783802572123731</v>
      </c>
      <c r="DD117" s="24">
        <f t="shared" ca="1" si="155"/>
        <v>0.16175703858185597</v>
      </c>
      <c r="DF117" s="19" cm="1">
        <f t="array" aca="1" ref="DF117" ca="1">MAX(_xlfn._xlws.FILTER(CQ117:DD117,CQ117:DD117&lt;BJ117))</f>
        <v>-3.5946008573745775E-2</v>
      </c>
      <c r="DG117" s="19" cm="1">
        <f t="array" aca="1" ref="DG117" ca="1">MIN(_xlfn._xlws.FILTER(CQ117:DD117,CQ117:DD117&gt;BJ117))</f>
        <v>-1.9030239833159525E-2</v>
      </c>
      <c r="DH117" s="2" cm="1">
        <f t="array" aca="1" ref="DH117" ca="1">_FV(EE117,"Fechamento anterior",TRUE)</f>
        <v>29.8</v>
      </c>
      <c r="DI117" s="36">
        <f t="shared" ca="1" si="115"/>
        <v>0.71652109956789367</v>
      </c>
      <c r="DJ117" s="18">
        <f t="shared" ca="1" si="156"/>
        <v>28.728808944502376</v>
      </c>
      <c r="DK117" s="18">
        <f t="shared" ca="1" si="157"/>
        <v>29.232898852971847</v>
      </c>
      <c r="DL117" s="9"/>
      <c r="DM117" s="9"/>
      <c r="DN117" s="9"/>
      <c r="DO117" s="9"/>
      <c r="DP117" s="79">
        <v>7.371273156551051E-3</v>
      </c>
      <c r="DQ117" s="79">
        <v>1.358826189481457E-2</v>
      </c>
      <c r="DR117" s="79">
        <v>3.8769306664925493E-3</v>
      </c>
      <c r="DS117" s="79">
        <f t="shared" ca="1" si="116"/>
        <v>1.691576874058625E-2</v>
      </c>
      <c r="DT117" s="47"/>
      <c r="DU117" s="43">
        <f t="shared" si="117"/>
        <v>0.4630537225851874</v>
      </c>
      <c r="DV117" s="83">
        <f t="shared" ca="1" si="118"/>
        <v>1.468</v>
      </c>
      <c r="DW117" s="83">
        <f t="shared" ca="1" si="119"/>
        <v>3.4245000000000001</v>
      </c>
      <c r="DX117" s="83">
        <f t="shared" ca="1" si="120"/>
        <v>-1.9565000000000001</v>
      </c>
      <c r="DY117" s="67"/>
      <c r="DZ117" s="67"/>
      <c r="EA117" s="85"/>
      <c r="EB117" s="44">
        <v>2343800</v>
      </c>
      <c r="EC117" s="44" cm="1">
        <f t="array" aca="1" ref="EC117" ca="1">_FV(EE117,"Volume")</f>
        <v>2231800</v>
      </c>
      <c r="EE117" s="2" t="e" vm="116">
        <v>#VALUE!</v>
      </c>
      <c r="EG117" s="10" cm="1">
        <f t="array" aca="1" ref="EG117" ca="1">_FV(EE117,"Ações em circulação",TRUE)</f>
        <v>291875100</v>
      </c>
      <c r="EH117" s="21">
        <f>VLOOKUP(BH117,Fundamentus!A:U,5,FALSE)</f>
        <v>2.0209999999999999</v>
      </c>
      <c r="EI117" s="2">
        <f t="shared" ca="1" si="121"/>
        <v>4201210618.0108857</v>
      </c>
      <c r="EJ117" s="20">
        <v>773156776.52093029</v>
      </c>
      <c r="EK117" s="20">
        <f t="shared" ca="1" si="122"/>
        <v>759578879.73636806</v>
      </c>
      <c r="EM117" s="40" t="str">
        <f>IF(VLOOKUP(BH117,Fundamentus!A:U,3,FALSE)&lt;15,"Bom",IF(VLOOKUP(BH117,Fundamentus!A:U,3,FALSE)&gt;15,"Ruim","n/a"))</f>
        <v>Bom</v>
      </c>
      <c r="EN117" s="36" t="str">
        <f>IF(VLOOKUP(BH117,Fundamentus!A:U,4,FALSE)&lt;1,"Baixo",IF(VLOOKUP(BH117,Fundamentus!A:U,4,FALSE)&lt;1.5,"Moderado",IF(VLOOKUP(BH117,Fundamentus!A:U,4,FALSE)&gt;1.5,"Alto","n/a")))</f>
        <v>Alto</v>
      </c>
      <c r="EO117" s="20" t="str">
        <f>IF(VLOOKUP(BH117,Fundamentus!A:U,8,FALSE)&lt;0,"Risco elevado",IF(VLOOKUP(BH117,Fundamentus!A:U,8,FALSE)&lt;1,"Saudável",IF(VLOOKUP(BH117,Fundamentus!A:U,8,FALSE)&lt;3,"Estável",IF(VLOOKUP(BH117,Fundamentus!A:U,8,FALSE)&gt;3,"Alerta","n/a"))))</f>
        <v>Alerta</v>
      </c>
      <c r="EP117" s="36" t="str">
        <f t="shared" si="123"/>
        <v>Bom</v>
      </c>
      <c r="EQ117" s="20" t="str">
        <f>IF(VLOOKUP(BH117,Fundamentus!A:U,12,FALSE)&lt;2,"Subvalorizada",IF(VLOOKUP(BH117,Fundamentus!A:U,12,FALSE)&lt;6,"Muita barata",IF(VLOOKUP(BH117,Fundamentus!A:U,12,FALSE)&lt;6,"Barata",IF(VLOOKUP(BH117,Fundamentus!A:U,12,FALSE)&lt;8,"Atrativa",IF(VLOOKUP(BH117,Fundamentus!A:U,12,FALSE)&gt;8,"Supervalorizada","n/a")))))</f>
        <v>Supervalorizada</v>
      </c>
      <c r="ES117" s="20" t="str">
        <f>IF(VLOOKUP(BH117,Fundamentus!A:U,17,FALSE)&lt;0.1,"Fraco retorno",IF(VLOOKUP(BH117,Fundamentus!A:U,17,FALSE)&gt;0.1,"Bom retorno","n/a"))</f>
        <v>Bom retorno</v>
      </c>
      <c r="ET117" s="20" t="str">
        <f>IF(VLOOKUP(BH117,Fundamentus!A:U,16,FALSE)&lt;0.1,"Ineficiente",IF(VLOOKUP(BH117,Fundamentus!A:U,16,FALSE)&gt;0.1,"Eficiente","n/a"))</f>
        <v>Eficiente</v>
      </c>
      <c r="EU117" s="41" t="str">
        <f>IF(VLOOKUP(BH117,Fundamentus!A:U,16,FALSE)&lt;0.1,"Oper. Ineficiente",IF(VLOOKUP(BH117,Fundamentus!A:U,16,FALSE)&gt;0.1,"Oper.Eficiente","n/a"))</f>
        <v>Oper.Eficiente</v>
      </c>
      <c r="EV117" s="42">
        <f>VLOOKUP(BH117,Fundamentus!A:U,14,FALSE)</f>
        <v>0.18079999999999999</v>
      </c>
      <c r="EW117" s="20" t="str">
        <f>IF(VLOOKUP(BH117,Fundamentus!A:U,21,FALSE)&lt;0,"Negativo",IF(VLOOKUP(BH117,Fundamentus!A:U,21,FALSE)&lt;0.05,"Fraco",IF(VLOOKUP(BH117,Fundamentus!A:U,21,FALSE)&lt;0.1,"Bom",IF(VLOOKUP(BH117,Fundamentus!A:U,21,FALSE)&gt;0.1,"Muito bom","n/a"))))</f>
        <v>Muito bom</v>
      </c>
      <c r="EY117" s="37" t="str">
        <f>IF(VLOOKUP(BH117,Fundamentus!A:U,15,FALSE)&gt;1,"Bom",IF(VLOOKUP(BH117,Fundamentus!A:U,15,FALSE)&lt;1,"Ruim","n/a"))</f>
        <v>Bom</v>
      </c>
      <c r="EZ117" s="20" t="str">
        <f>IF(VLOOKUP(BH117,Fundamentus!A:U,20,FALSE)&lt;0.5,"Baixa",IF(VLOOKUP(BH117,Fundamentus!A:U,20,FALSE)&lt;1,"Moderada",IF(VLOOKUP(BH117,Fundamentus!A:U,20,FALSE)&lt;2,"Alerta",IF(VLOOKUP(BH117,Fundamentus!A:U,20,FALSE)&gt;2,"Alta","n/a"))))</f>
        <v>Alerta</v>
      </c>
      <c r="FA117" s="10"/>
    </row>
    <row r="118" spans="1:157" s="2" customFormat="1" ht="11.25" hidden="1" x14ac:dyDescent="0.2">
      <c r="A118" s="4">
        <v>26.63</v>
      </c>
      <c r="B118" s="4">
        <v>25.1</v>
      </c>
      <c r="C118" s="4">
        <v>24.84</v>
      </c>
      <c r="D118" s="4">
        <v>23.7</v>
      </c>
      <c r="E118" s="4">
        <v>23.17</v>
      </c>
      <c r="F118" s="4">
        <v>22.16</v>
      </c>
      <c r="G118" s="4">
        <v>21.75</v>
      </c>
      <c r="H118" s="4">
        <v>21.59</v>
      </c>
      <c r="I118" s="4">
        <v>21.57</v>
      </c>
      <c r="J118" s="4">
        <v>22.1</v>
      </c>
      <c r="K118" s="4">
        <v>22.7</v>
      </c>
      <c r="L118" s="4">
        <v>23.22</v>
      </c>
      <c r="M118" s="4">
        <v>22.9</v>
      </c>
      <c r="N118" s="4">
        <v>22.84</v>
      </c>
      <c r="O118" s="4">
        <v>23.05</v>
      </c>
      <c r="P118" s="4">
        <v>24.06</v>
      </c>
      <c r="Q118" s="4">
        <v>23.65</v>
      </c>
      <c r="R118" s="4">
        <v>23.36</v>
      </c>
      <c r="S118" s="4">
        <v>23.02</v>
      </c>
      <c r="T118" s="4">
        <v>22.8</v>
      </c>
      <c r="U118" s="4">
        <v>21.35</v>
      </c>
      <c r="V118" s="4">
        <v>21.34</v>
      </c>
      <c r="W118" s="4">
        <v>21.18</v>
      </c>
      <c r="X118" s="4">
        <v>20.84</v>
      </c>
      <c r="Y118" s="4">
        <v>20.46</v>
      </c>
      <c r="Z118" s="4">
        <v>20.100000000000001</v>
      </c>
      <c r="AA118" s="4">
        <v>20.5</v>
      </c>
      <c r="AB118" s="4">
        <v>20.43</v>
      </c>
      <c r="AC118" s="4">
        <v>19.29</v>
      </c>
      <c r="AD118" s="4">
        <v>18.32</v>
      </c>
      <c r="AE118" s="4">
        <v>17.940000000000001</v>
      </c>
      <c r="AF118" s="4">
        <v>17.670000000000002</v>
      </c>
      <c r="AG118" s="4">
        <v>16.86</v>
      </c>
      <c r="AH118" s="4">
        <v>16.25</v>
      </c>
      <c r="AI118" s="4">
        <v>15.85</v>
      </c>
      <c r="AJ118" s="4">
        <v>15.55</v>
      </c>
      <c r="AK118" s="4">
        <v>15.57</v>
      </c>
      <c r="AL118" s="4">
        <v>15.9</v>
      </c>
      <c r="AM118" s="4">
        <v>16.079999999999998</v>
      </c>
      <c r="AN118" s="4">
        <v>16.54</v>
      </c>
      <c r="AO118" s="4">
        <v>16.09</v>
      </c>
      <c r="AP118" s="4">
        <v>17.350000000000001</v>
      </c>
      <c r="AQ118" s="4">
        <v>16.399999999999999</v>
      </c>
      <c r="AR118" s="4">
        <v>16.63</v>
      </c>
      <c r="AS118" s="4">
        <v>15.98</v>
      </c>
      <c r="AT118" s="4">
        <v>17.12</v>
      </c>
      <c r="AU118" s="4">
        <v>17.795000000000002</v>
      </c>
      <c r="AV118" s="4">
        <v>17.57</v>
      </c>
      <c r="AW118" s="4">
        <v>17</v>
      </c>
      <c r="AX118" s="4">
        <v>16.78</v>
      </c>
      <c r="AY118" s="12">
        <v>17.25</v>
      </c>
      <c r="AZ118" s="12">
        <v>18.010000000000002</v>
      </c>
      <c r="BA118" s="12">
        <v>17.829999999999998</v>
      </c>
      <c r="BB118" s="18">
        <v>16.2</v>
      </c>
      <c r="BC118" s="63">
        <v>17.36</v>
      </c>
      <c r="BD118" s="63">
        <v>16.63</v>
      </c>
      <c r="BE118" s="63">
        <v>16.29</v>
      </c>
      <c r="BF118" s="63">
        <v>16.190000000000001</v>
      </c>
      <c r="BG118" s="91" cm="1">
        <f t="array" aca="1" ref="BG118" ca="1">_FV(EE118,"Preço")</f>
        <v>16.989999999999998</v>
      </c>
      <c r="BH118" s="93" t="s">
        <v>115</v>
      </c>
      <c r="BI118" s="32" cm="1">
        <f t="array" aca="1" ref="BI118" ca="1">_FV(EE118,"Beta")</f>
        <v>1.1202000000000001</v>
      </c>
      <c r="BJ118" s="96" cm="1">
        <f t="array" aca="1" ref="BJ118" ca="1">_FV(EE118,"Variação (%)",TRUE)</f>
        <v>-7.0130000000000001E-3</v>
      </c>
      <c r="BK118" s="49"/>
      <c r="BL118" s="49"/>
      <c r="BN118" s="32"/>
      <c r="BO118" s="20" cm="1">
        <f t="array" aca="1" ref="BO118" ca="1">_FV(EE118,"Baixo")</f>
        <v>16.91</v>
      </c>
      <c r="BP118" s="20" cm="1">
        <f t="array" aca="1" ref="BP118" ca="1">_FV(EE118,"Alto")</f>
        <v>17.29</v>
      </c>
      <c r="BQ118" s="32"/>
      <c r="BR118" s="74">
        <f ca="1">SQRT(22.5*(BG118/VLOOKUP(BH118,Fundamentus!A:U,3,FALSE))*(BG118/VLOOKUP(BH118,Fundamentus!A:U,4,FALSE)))</f>
        <v>26.345536114760929</v>
      </c>
      <c r="BT118" s="73">
        <f t="shared" ca="1" si="99"/>
        <v>4.9413218035824401E-2</v>
      </c>
      <c r="BU118" s="36">
        <f t="shared" si="100"/>
        <v>-0.38828389034923022</v>
      </c>
      <c r="BV118" s="8"/>
      <c r="BW118" s="72">
        <f t="shared" si="101"/>
        <v>15.55</v>
      </c>
      <c r="BX118" s="72">
        <f t="shared" si="102"/>
        <v>19.598362068965521</v>
      </c>
      <c r="BY118" s="72">
        <f t="shared" si="103"/>
        <v>26.63</v>
      </c>
      <c r="BZ118" s="17"/>
      <c r="CA118" s="17"/>
      <c r="CB118" s="43">
        <f t="shared" si="104"/>
        <v>14.754123834442336</v>
      </c>
      <c r="CC118" s="18">
        <f t="shared" si="105"/>
        <v>15.67144329896928</v>
      </c>
      <c r="CD118" s="43">
        <f t="shared" si="106"/>
        <v>16.588762763496224</v>
      </c>
      <c r="CE118" s="98">
        <f t="shared" ca="1" si="107"/>
        <v>1.4374018561905153</v>
      </c>
      <c r="CF118" s="17"/>
      <c r="CG118" s="20">
        <f t="shared" si="108"/>
        <v>1.2033333333333367</v>
      </c>
      <c r="CH118" s="20">
        <f t="shared" si="109"/>
        <v>8.3766666666666687</v>
      </c>
      <c r="CI118" s="20">
        <f t="shared" si="110"/>
        <v>12.283333333333335</v>
      </c>
      <c r="CJ118" s="49">
        <f t="shared" si="111"/>
        <v>19.456666666666667</v>
      </c>
      <c r="CK118" s="20">
        <f t="shared" si="112"/>
        <v>23.363333333333333</v>
      </c>
      <c r="CL118" s="20">
        <f t="shared" si="113"/>
        <v>30.536666666666665</v>
      </c>
      <c r="CM118" s="20">
        <f t="shared" si="114"/>
        <v>34.443333333333328</v>
      </c>
      <c r="CN118" s="2" cm="1">
        <f t="array" aca="1" ref="CN118" ca="1">MAX(_xlfn._xlws.FILTER(CG118:CM118,CG118:CM118&lt;BG118))</f>
        <v>12.283333333333335</v>
      </c>
      <c r="CO118" s="2" cm="1">
        <f t="array" aca="1" ref="CO118" ca="1">MIN(_xlfn._xlws.FILTER($CG118:$CM118,$CG118:$CM118&gt;BG118))</f>
        <v>19.456666666666667</v>
      </c>
      <c r="CP118" s="19">
        <f t="shared" ca="1" si="141"/>
        <v>0.58398914518317491</v>
      </c>
      <c r="CQ118" s="23">
        <f t="shared" ca="1" si="142"/>
        <v>-0.29199457259158745</v>
      </c>
      <c r="CR118" s="23">
        <f t="shared" ca="1" si="143"/>
        <v>-0.19466304839439164</v>
      </c>
      <c r="CS118" s="23">
        <f t="shared" ca="1" si="144"/>
        <v>-0.11679782903663498</v>
      </c>
      <c r="CT118" s="23">
        <f t="shared" ca="1" si="145"/>
        <v>-6.488768279813055E-2</v>
      </c>
      <c r="CU118" s="23">
        <f t="shared" ca="1" si="146"/>
        <v>-3.4352302657833816E-2</v>
      </c>
      <c r="CV118" s="23">
        <f t="shared" ca="1" si="147"/>
        <v>-1.7696640763126513E-2</v>
      </c>
      <c r="CW118" s="23">
        <f t="shared" ca="1" si="148"/>
        <v>-8.9844483874334594E-3</v>
      </c>
      <c r="CX118" s="24">
        <f t="shared" ca="1" si="149"/>
        <v>8.9844483874334594E-3</v>
      </c>
      <c r="CY118" s="24">
        <f t="shared" ca="1" si="150"/>
        <v>1.7696640763126513E-2</v>
      </c>
      <c r="CZ118" s="24">
        <f t="shared" ca="1" si="151"/>
        <v>3.4352302657833816E-2</v>
      </c>
      <c r="DA118" s="24">
        <f t="shared" ca="1" si="152"/>
        <v>6.488768279813055E-2</v>
      </c>
      <c r="DB118" s="24">
        <f t="shared" ca="1" si="153"/>
        <v>0.11679782903663498</v>
      </c>
      <c r="DC118" s="24">
        <f t="shared" ca="1" si="154"/>
        <v>0.19466304839439164</v>
      </c>
      <c r="DD118" s="24">
        <f t="shared" ca="1" si="155"/>
        <v>0.29199457259158745</v>
      </c>
      <c r="DF118" s="19" cm="1">
        <f t="array" aca="1" ref="DF118" ca="1">MAX(_xlfn._xlws.FILTER(CQ118:DD118,CQ118:DD118&lt;BJ118))</f>
        <v>-8.9844483874334594E-3</v>
      </c>
      <c r="DG118" s="19" cm="1">
        <f t="array" aca="1" ref="DG118" ca="1">MIN(_xlfn._xlws.FILTER(CQ118:DD118,CQ118:DD118&gt;BJ118))</f>
        <v>8.9844483874334594E-3</v>
      </c>
      <c r="DH118" s="2" cm="1">
        <f t="array" aca="1" ref="DH118" ca="1">_FV(EE118,"Fechamento anterior",TRUE)</f>
        <v>17.11</v>
      </c>
      <c r="DI118" s="36">
        <f t="shared" ca="1" si="115"/>
        <v>0.10968987026869402</v>
      </c>
      <c r="DJ118" s="18">
        <f t="shared" ca="1" si="156"/>
        <v>16.956276088091013</v>
      </c>
      <c r="DK118" s="18">
        <f t="shared" ca="1" si="157"/>
        <v>17.263723911908986</v>
      </c>
      <c r="DL118" s="9"/>
      <c r="DM118" s="9"/>
      <c r="DN118" s="9"/>
      <c r="DO118" s="9"/>
      <c r="DP118" s="79">
        <v>9.2941263590687242E-3</v>
      </c>
      <c r="DQ118" s="79">
        <v>1.776818274527845E-2</v>
      </c>
      <c r="DR118" s="79">
        <v>1.9169135615579248E-2</v>
      </c>
      <c r="DS118" s="79">
        <f t="shared" ca="1" si="116"/>
        <v>1.7968896774866919E-2</v>
      </c>
      <c r="DT118" s="47"/>
      <c r="DU118" s="43">
        <f t="shared" si="117"/>
        <v>0.45865973226347184</v>
      </c>
      <c r="DV118" s="83">
        <f t="shared" ca="1" si="118"/>
        <v>1.5463</v>
      </c>
      <c r="DW118" s="83">
        <f t="shared" ca="1" si="119"/>
        <v>1.8215000000000001</v>
      </c>
      <c r="DX118" s="83">
        <f t="shared" ca="1" si="120"/>
        <v>-0.27520000000000011</v>
      </c>
      <c r="DY118" s="67"/>
      <c r="DZ118" s="67"/>
      <c r="EA118" s="85"/>
      <c r="EB118" s="44">
        <v>4405800</v>
      </c>
      <c r="EC118" s="44" cm="1">
        <f t="array" aca="1" ref="EC118" ca="1">_FV(EE118,"Volume")</f>
        <v>4515700</v>
      </c>
      <c r="EE118" s="2" t="e" vm="117">
        <v>#VALUE!</v>
      </c>
      <c r="EG118" s="10" cm="1">
        <f t="array" aca="1" ref="EG118" ca="1">_FV(EE118,"Ações em circulação",TRUE)</f>
        <v>1115404000</v>
      </c>
      <c r="EH118" s="21">
        <f>VLOOKUP(BH118,Fundamentus!A:U,5,FALSE)</f>
        <v>0.13200000000000001</v>
      </c>
      <c r="EI118" s="2">
        <f t="shared" ca="1" si="121"/>
        <v>143566014848.48483</v>
      </c>
      <c r="EJ118" s="20">
        <v>2435146632.7878785</v>
      </c>
      <c r="EK118" s="20">
        <f t="shared" ca="1" si="122"/>
        <v>2555475064.30303</v>
      </c>
      <c r="EM118" s="40" t="str">
        <f>IF(VLOOKUP(BH118,Fundamentus!A:U,3,FALSE)&lt;15,"Bom",IF(VLOOKUP(BH118,Fundamentus!A:U,3,FALSE)&gt;15,"Ruim","n/a"))</f>
        <v>Bom</v>
      </c>
      <c r="EN118" s="36" t="str">
        <f>IF(VLOOKUP(BH118,Fundamentus!A:U,4,FALSE)&lt;1,"Baixo",IF(VLOOKUP(BH118,Fundamentus!A:U,4,FALSE)&lt;1.5,"Moderado",IF(VLOOKUP(BH118,Fundamentus!A:U,4,FALSE)&gt;1.5,"Alto","n/a")))</f>
        <v>Moderado</v>
      </c>
      <c r="EO118" s="20" t="str">
        <f>IF(VLOOKUP(BH118,Fundamentus!A:U,8,FALSE)&lt;0,"Risco elevado",IF(VLOOKUP(BH118,Fundamentus!A:U,8,FALSE)&lt;1,"Saudável",IF(VLOOKUP(BH118,Fundamentus!A:U,8,FALSE)&lt;3,"Estável",IF(VLOOKUP(BH118,Fundamentus!A:U,8,FALSE)&gt;3,"Alerta","n/a"))))</f>
        <v>Estável</v>
      </c>
      <c r="EP118" s="36" t="str">
        <f t="shared" si="123"/>
        <v>Ruim</v>
      </c>
      <c r="EQ118" s="20" t="str">
        <f>IF(VLOOKUP(BH118,Fundamentus!A:U,12,FALSE)&lt;2,"Subvalorizada",IF(VLOOKUP(BH118,Fundamentus!A:U,12,FALSE)&lt;6,"Muita barata",IF(VLOOKUP(BH118,Fundamentus!A:U,12,FALSE)&lt;6,"Barata",IF(VLOOKUP(BH118,Fundamentus!A:U,12,FALSE)&lt;8,"Atrativa",IF(VLOOKUP(BH118,Fundamentus!A:U,12,FALSE)&gt;8,"Supervalorizada","n/a")))))</f>
        <v>Muita barata</v>
      </c>
      <c r="ES118" s="20" t="str">
        <f>IF(VLOOKUP(BH118,Fundamentus!A:U,17,FALSE)&lt;0.1,"Fraco retorno",IF(VLOOKUP(BH118,Fundamentus!A:U,17,FALSE)&gt;0.1,"Bom retorno","n/a"))</f>
        <v>Bom retorno</v>
      </c>
      <c r="ET118" s="20" t="str">
        <f>IF(VLOOKUP(BH118,Fundamentus!A:U,16,FALSE)&lt;0.1,"Ineficiente",IF(VLOOKUP(BH118,Fundamentus!A:U,16,FALSE)&gt;0.1,"Eficiente","n/a"))</f>
        <v>Eficiente</v>
      </c>
      <c r="EU118" s="41" t="str">
        <f>IF(VLOOKUP(BH118,Fundamentus!A:U,16,FALSE)&lt;0.1,"Oper. Ineficiente",IF(VLOOKUP(BH118,Fundamentus!A:U,16,FALSE)&gt;0.1,"Oper.Eficiente","n/a"))</f>
        <v>Oper.Eficiente</v>
      </c>
      <c r="EV118" s="42">
        <f>VLOOKUP(BH118,Fundamentus!A:U,14,FALSE)</f>
        <v>1.78E-2</v>
      </c>
      <c r="EW118" s="20" t="str">
        <f>IF(VLOOKUP(BH118,Fundamentus!A:U,21,FALSE)&lt;0,"Negativo",IF(VLOOKUP(BH118,Fundamentus!A:U,21,FALSE)&lt;0.05,"Fraco",IF(VLOOKUP(BH118,Fundamentus!A:U,21,FALSE)&lt;0.1,"Bom",IF(VLOOKUP(BH118,Fundamentus!A:U,21,FALSE)&gt;0.1,"Muito bom","n/a"))))</f>
        <v>Muito bom</v>
      </c>
      <c r="EY118" s="37" t="str">
        <f>IF(VLOOKUP(BH118,Fundamentus!A:U,15,FALSE)&gt;1,"Bom",IF(VLOOKUP(BH118,Fundamentus!A:U,15,FALSE)&lt;1,"Ruim","n/a"))</f>
        <v>Bom</v>
      </c>
      <c r="EZ118" s="20" t="str">
        <f>IF(VLOOKUP(BH118,Fundamentus!A:U,20,FALSE)&lt;0.5,"Baixa",IF(VLOOKUP(BH118,Fundamentus!A:U,20,FALSE)&lt;1,"Moderada",IF(VLOOKUP(BH118,Fundamentus!A:U,20,FALSE)&lt;2,"Alerta",IF(VLOOKUP(BH118,Fundamentus!A:U,20,FALSE)&gt;2,"Alta","n/a"))))</f>
        <v>Moderada</v>
      </c>
      <c r="FA118" s="10"/>
    </row>
    <row r="119" spans="1:157" s="2" customFormat="1" ht="11.25" hidden="1" x14ac:dyDescent="0.2">
      <c r="A119" s="4">
        <v>7.83</v>
      </c>
      <c r="B119" s="4">
        <v>7.67</v>
      </c>
      <c r="C119" s="4">
        <v>7.7</v>
      </c>
      <c r="D119" s="4">
        <v>7.54</v>
      </c>
      <c r="E119" s="4">
        <v>7.21</v>
      </c>
      <c r="F119" s="4">
        <v>7.01</v>
      </c>
      <c r="G119" s="4">
        <v>6.7</v>
      </c>
      <c r="H119" s="4">
        <v>6.6</v>
      </c>
      <c r="I119" s="4">
        <v>6.59</v>
      </c>
      <c r="J119" s="4">
        <v>6.85</v>
      </c>
      <c r="K119" s="4">
        <v>7.18</v>
      </c>
      <c r="L119" s="4">
        <v>7.08</v>
      </c>
      <c r="M119" s="4">
        <v>7.19</v>
      </c>
      <c r="N119" s="4">
        <v>7.16</v>
      </c>
      <c r="O119" s="4">
        <v>8.0500000000000007</v>
      </c>
      <c r="P119" s="4">
        <v>7.69</v>
      </c>
      <c r="Q119" s="4">
        <v>8.41</v>
      </c>
      <c r="R119" s="4">
        <v>8.2100000000000009</v>
      </c>
      <c r="S119" s="4">
        <v>7.84</v>
      </c>
      <c r="T119" s="4">
        <v>8.09</v>
      </c>
      <c r="U119" s="4">
        <v>7.89</v>
      </c>
      <c r="V119" s="4">
        <v>8.25</v>
      </c>
      <c r="W119" s="4">
        <v>8.65</v>
      </c>
      <c r="X119" s="4">
        <v>8.0299999999999994</v>
      </c>
      <c r="Y119" s="4">
        <v>8.0399999999999991</v>
      </c>
      <c r="Z119" s="4">
        <v>8.4499999999999993</v>
      </c>
      <c r="AA119" s="4">
        <v>8.06</v>
      </c>
      <c r="AB119" s="4">
        <v>7.94</v>
      </c>
      <c r="AC119" s="4">
        <v>7.66</v>
      </c>
      <c r="AD119" s="4">
        <v>7.56</v>
      </c>
      <c r="AE119" s="4">
        <v>7.25</v>
      </c>
      <c r="AF119" s="4">
        <v>7</v>
      </c>
      <c r="AG119" s="4">
        <v>6.49</v>
      </c>
      <c r="AH119" s="4">
        <v>6.11</v>
      </c>
      <c r="AI119" s="4">
        <v>6.07</v>
      </c>
      <c r="AJ119" s="4">
        <v>5.78</v>
      </c>
      <c r="AK119" s="4">
        <v>5.91</v>
      </c>
      <c r="AL119" s="4">
        <v>5.9</v>
      </c>
      <c r="AM119" s="4">
        <v>5.92</v>
      </c>
      <c r="AN119" s="4">
        <v>5.9</v>
      </c>
      <c r="AO119" s="4">
        <v>6.05</v>
      </c>
      <c r="AP119" s="4">
        <v>6.31</v>
      </c>
      <c r="AQ119" s="4">
        <v>6.21</v>
      </c>
      <c r="AR119" s="4">
        <v>5.65</v>
      </c>
      <c r="AS119" s="4">
        <v>5.79</v>
      </c>
      <c r="AT119" s="4">
        <v>5.59</v>
      </c>
      <c r="AU119" s="4">
        <v>5.6550000000000002</v>
      </c>
      <c r="AV119" s="4">
        <v>5.51</v>
      </c>
      <c r="AW119" s="4">
        <v>5.38</v>
      </c>
      <c r="AX119" s="4">
        <v>5.2</v>
      </c>
      <c r="AY119" s="12">
        <v>5.16</v>
      </c>
      <c r="AZ119" s="12">
        <v>5.47</v>
      </c>
      <c r="BA119" s="12">
        <v>5.53</v>
      </c>
      <c r="BB119" s="18">
        <v>5.22</v>
      </c>
      <c r="BC119" s="63">
        <v>5.34</v>
      </c>
      <c r="BD119" s="63">
        <v>5.45</v>
      </c>
      <c r="BE119" s="63">
        <v>5.55</v>
      </c>
      <c r="BF119" s="63">
        <v>5.68</v>
      </c>
      <c r="BG119" s="91" cm="1">
        <f t="array" aca="1" ref="BG119" ca="1">_FV(EE119,"Preço")</f>
        <v>5.55</v>
      </c>
      <c r="BH119" s="93" t="s">
        <v>149</v>
      </c>
      <c r="BI119" s="32" cm="1">
        <f t="array" aca="1" ref="BI119" ca="1">_FV(EE119,"Beta")</f>
        <v>0.83240000000000003</v>
      </c>
      <c r="BJ119" s="96" cm="1">
        <f t="array" aca="1" ref="BJ119" ca="1">_FV(EE119,"Variação (%)",TRUE)</f>
        <v>1.805E-3</v>
      </c>
      <c r="BK119" s="49"/>
      <c r="BL119" s="49"/>
      <c r="BN119" s="32"/>
      <c r="BO119" s="20" cm="1">
        <f t="array" aca="1" ref="BO119" ca="1">_FV(EE119,"Baixo")</f>
        <v>5.47</v>
      </c>
      <c r="BP119" s="20" cm="1">
        <f t="array" aca="1" ref="BP119" ca="1">_FV(EE119,"Alto")</f>
        <v>5.61</v>
      </c>
      <c r="BQ119" s="32"/>
      <c r="BR119" s="74">
        <f ca="1">SQRT(22.5*(BG119/VLOOKUP(BH119,Fundamentus!A:U,3,FALSE))*(BG119/VLOOKUP(BH119,Fundamentus!A:U,4,FALSE)))</f>
        <v>7.2608493869638577</v>
      </c>
      <c r="BT119" s="73">
        <f t="shared" ca="1" si="99"/>
        <v>-2.2887323943661955E-2</v>
      </c>
      <c r="BU119" s="36">
        <f t="shared" si="100"/>
        <v>-0.29118773946360155</v>
      </c>
      <c r="BV119" s="8"/>
      <c r="BW119" s="72">
        <f t="shared" si="101"/>
        <v>5.16</v>
      </c>
      <c r="BX119" s="72">
        <f t="shared" si="102"/>
        <v>6.7621551724137916</v>
      </c>
      <c r="BY119" s="72">
        <f t="shared" si="103"/>
        <v>8.65</v>
      </c>
      <c r="BZ119" s="17"/>
      <c r="CA119" s="17"/>
      <c r="CB119" s="43">
        <f t="shared" si="104"/>
        <v>5.5260241437740634</v>
      </c>
      <c r="CC119" s="18">
        <f t="shared" si="105"/>
        <v>5.7768228678537525</v>
      </c>
      <c r="CD119" s="43">
        <f t="shared" si="106"/>
        <v>6.0276215919334417</v>
      </c>
      <c r="CE119" s="98">
        <f t="shared" ca="1" si="107"/>
        <v>-0.90440200079200428</v>
      </c>
      <c r="CF119" s="17"/>
      <c r="CG119" s="20">
        <f t="shared" si="108"/>
        <v>0.8533333333333335</v>
      </c>
      <c r="CH119" s="20">
        <f t="shared" si="109"/>
        <v>3.0066666666666668</v>
      </c>
      <c r="CI119" s="20">
        <f t="shared" si="110"/>
        <v>4.3433333333333337</v>
      </c>
      <c r="CJ119" s="49">
        <f t="shared" si="111"/>
        <v>6.496666666666667</v>
      </c>
      <c r="CK119" s="20">
        <f t="shared" si="112"/>
        <v>7.8333333333333339</v>
      </c>
      <c r="CL119" s="20">
        <f t="shared" si="113"/>
        <v>9.9866666666666681</v>
      </c>
      <c r="CM119" s="20">
        <f t="shared" si="114"/>
        <v>11.323333333333334</v>
      </c>
      <c r="CN119" s="2" cm="1">
        <f t="array" aca="1" ref="CN119" ca="1">MAX(_xlfn._xlws.FILTER(CG119:CM119,CG119:CM119&lt;BG119))</f>
        <v>4.3433333333333337</v>
      </c>
      <c r="CO119" s="2" cm="1">
        <f t="array" aca="1" ref="CO119" ca="1">MIN(_xlfn._xlws.FILTER($CG119:$CM119,$CG119:$CM119&gt;BG119))</f>
        <v>6.496666666666667</v>
      </c>
      <c r="CP119" s="19">
        <f t="shared" ca="1" si="141"/>
        <v>0.49577897160399065</v>
      </c>
      <c r="CQ119" s="23">
        <f t="shared" ca="1" si="142"/>
        <v>-0.24788948580199532</v>
      </c>
      <c r="CR119" s="23">
        <f t="shared" ca="1" si="143"/>
        <v>-0.16525965720133021</v>
      </c>
      <c r="CS119" s="23">
        <f t="shared" ca="1" si="144"/>
        <v>-9.915579432079813E-2</v>
      </c>
      <c r="CT119" s="23">
        <f t="shared" ca="1" si="145"/>
        <v>-5.5086552400443405E-2</v>
      </c>
      <c r="CU119" s="23">
        <f t="shared" ca="1" si="146"/>
        <v>-2.9163468917881803E-2</v>
      </c>
      <c r="CV119" s="23">
        <f t="shared" ca="1" si="147"/>
        <v>-1.5023605200120929E-2</v>
      </c>
      <c r="CW119" s="23">
        <f t="shared" ca="1" si="148"/>
        <v>-7.627368793907548E-3</v>
      </c>
      <c r="CX119" s="24">
        <f t="shared" ca="1" si="149"/>
        <v>7.627368793907548E-3</v>
      </c>
      <c r="CY119" s="24">
        <f t="shared" ca="1" si="150"/>
        <v>1.5023605200120929E-2</v>
      </c>
      <c r="CZ119" s="24">
        <f t="shared" ca="1" si="151"/>
        <v>2.9163468917881803E-2</v>
      </c>
      <c r="DA119" s="24">
        <f t="shared" ca="1" si="152"/>
        <v>5.5086552400443405E-2</v>
      </c>
      <c r="DB119" s="24">
        <f t="shared" ca="1" si="153"/>
        <v>9.915579432079813E-2</v>
      </c>
      <c r="DC119" s="24">
        <f t="shared" ca="1" si="154"/>
        <v>0.16525965720133021</v>
      </c>
      <c r="DD119" s="24">
        <f t="shared" ca="1" si="155"/>
        <v>0.24788948580199532</v>
      </c>
      <c r="DF119" s="19" cm="1">
        <f t="array" aca="1" ref="DF119" ca="1">MAX(_xlfn._xlws.FILTER(CQ119:DD119,CQ119:DD119&lt;BJ119))</f>
        <v>-7.627368793907548E-3</v>
      </c>
      <c r="DG119" s="19" cm="1">
        <f t="array" aca="1" ref="DG119" ca="1">MIN(_xlfn._xlws.FILTER(CQ119:DD119,CQ119:DD119&gt;BJ119))</f>
        <v>7.627368793907548E-3</v>
      </c>
      <c r="DH119" s="2" cm="1">
        <f t="array" aca="1" ref="DH119" ca="1">_FV(EE119,"Fechamento anterior",TRUE)</f>
        <v>5.54</v>
      </c>
      <c r="DI119" s="36">
        <f t="shared" ca="1" si="115"/>
        <v>0.61832744688222807</v>
      </c>
      <c r="DJ119" s="18">
        <f t="shared" ca="1" si="156"/>
        <v>5.4977443768817524</v>
      </c>
      <c r="DK119" s="18">
        <f t="shared" ca="1" si="157"/>
        <v>5.5822556231182476</v>
      </c>
      <c r="DL119" s="9"/>
      <c r="DM119" s="9"/>
      <c r="DN119" s="9"/>
      <c r="DO119" s="9"/>
      <c r="DP119" s="80">
        <v>1.6968528338268712E-2</v>
      </c>
      <c r="DQ119" s="80">
        <v>1.6968528338268712E-2</v>
      </c>
      <c r="DR119" s="80">
        <v>2.883540763365925E-2</v>
      </c>
      <c r="DS119" s="80">
        <f t="shared" ca="1" si="116"/>
        <v>1.5254737587815096E-2</v>
      </c>
      <c r="DT119" s="47"/>
      <c r="DU119" s="43">
        <f t="shared" si="117"/>
        <v>0.12539936203984445</v>
      </c>
      <c r="DV119" s="83">
        <f t="shared" ca="1" si="118"/>
        <v>1.2585</v>
      </c>
      <c r="DW119" s="83">
        <f t="shared" ca="1" si="119"/>
        <v>0.65190000000000003</v>
      </c>
      <c r="DX119" s="83">
        <f t="shared" ca="1" si="120"/>
        <v>0.60659999999999992</v>
      </c>
      <c r="DY119" s="67"/>
      <c r="DZ119" s="67"/>
      <c r="EA119" s="85"/>
      <c r="EB119" s="44">
        <v>4341400</v>
      </c>
      <c r="EC119" s="44" cm="1">
        <f t="array" aca="1" ref="EC119" ca="1">_FV(EE119,"Volume")</f>
        <v>1759400</v>
      </c>
      <c r="EE119" s="2" t="e" vm="118">
        <v>#VALUE!</v>
      </c>
      <c r="EG119" s="10" cm="1">
        <f t="array" aca="1" ref="EG119" ca="1">_FV(EE119,"Ações em circulação",TRUE)</f>
        <v>820566200</v>
      </c>
      <c r="EH119" s="21">
        <f>VLOOKUP(BH119,Fundamentus!A:U,5,FALSE)</f>
        <v>0.59</v>
      </c>
      <c r="EI119" s="2">
        <f t="shared" ca="1" si="121"/>
        <v>7718885440.6779661</v>
      </c>
      <c r="EJ119" s="20">
        <v>258319802.92067796</v>
      </c>
      <c r="EK119" s="20">
        <f t="shared" ca="1" si="122"/>
        <v>252407553.91016948</v>
      </c>
      <c r="EM119" s="40" t="str">
        <f>IF(VLOOKUP(BH119,Fundamentus!A:U,3,FALSE)&lt;15,"Bom",IF(VLOOKUP(BH119,Fundamentus!A:U,3,FALSE)&gt;15,"Ruim","n/a"))</f>
        <v>Ruim</v>
      </c>
      <c r="EN119" s="36" t="str">
        <f>IF(VLOOKUP(BH119,Fundamentus!A:U,4,FALSE)&lt;1,"Baixo",IF(VLOOKUP(BH119,Fundamentus!A:U,4,FALSE)&lt;1.5,"Moderado",IF(VLOOKUP(BH119,Fundamentus!A:U,4,FALSE)&gt;1.5,"Alto","n/a")))</f>
        <v>Baixo</v>
      </c>
      <c r="EO119" s="20" t="str">
        <f>IF(VLOOKUP(BH119,Fundamentus!A:U,8,FALSE)&lt;0,"Risco elevado",IF(VLOOKUP(BH119,Fundamentus!A:U,8,FALSE)&lt;1,"Saudável",IF(VLOOKUP(BH119,Fundamentus!A:U,8,FALSE)&lt;3,"Estável",IF(VLOOKUP(BH119,Fundamentus!A:U,8,FALSE)&gt;3,"Alerta","n/a"))))</f>
        <v>Alerta</v>
      </c>
      <c r="EP119" s="36" t="str">
        <f t="shared" si="123"/>
        <v>Ruim</v>
      </c>
      <c r="EQ119" s="20" t="str">
        <f>IF(VLOOKUP(BH119,Fundamentus!A:U,12,FALSE)&lt;2,"Subvalorizada",IF(VLOOKUP(BH119,Fundamentus!A:U,12,FALSE)&lt;6,"Muita barata",IF(VLOOKUP(BH119,Fundamentus!A:U,12,FALSE)&lt;6,"Barata",IF(VLOOKUP(BH119,Fundamentus!A:U,12,FALSE)&lt;8,"Atrativa",IF(VLOOKUP(BH119,Fundamentus!A:U,12,FALSE)&gt;8,"Supervalorizada","n/a")))))</f>
        <v>Muita barata</v>
      </c>
      <c r="ES119" s="20" t="str">
        <f>IF(VLOOKUP(BH119,Fundamentus!A:U,17,FALSE)&lt;0.1,"Fraco retorno",IF(VLOOKUP(BH119,Fundamentus!A:U,17,FALSE)&gt;0.1,"Bom retorno","n/a"))</f>
        <v>Fraco retorno</v>
      </c>
      <c r="ET119" s="20" t="str">
        <f>IF(VLOOKUP(BH119,Fundamentus!A:U,16,FALSE)&lt;0.1,"Ineficiente",IF(VLOOKUP(BH119,Fundamentus!A:U,16,FALSE)&gt;0.1,"Eficiente","n/a"))</f>
        <v>Ineficiente</v>
      </c>
      <c r="EU119" s="41" t="str">
        <f>IF(VLOOKUP(BH119,Fundamentus!A:U,16,FALSE)&lt;0.1,"Oper. Ineficiente",IF(VLOOKUP(BH119,Fundamentus!A:U,16,FALSE)&gt;0.1,"Oper.Eficiente","n/a"))</f>
        <v>Oper. Ineficiente</v>
      </c>
      <c r="EV119" s="42">
        <f>VLOOKUP(BH119,Fundamentus!A:U,14,FALSE)</f>
        <v>3.27E-2</v>
      </c>
      <c r="EW119" s="20" t="str">
        <f>IF(VLOOKUP(BH119,Fundamentus!A:U,21,FALSE)&lt;0,"Negativo",IF(VLOOKUP(BH119,Fundamentus!A:U,21,FALSE)&lt;0.05,"Fraco",IF(VLOOKUP(BH119,Fundamentus!A:U,21,FALSE)&lt;0.1,"Bom",IF(VLOOKUP(BH119,Fundamentus!A:U,21,FALSE)&gt;0.1,"Muito bom","n/a"))))</f>
        <v>Fraco</v>
      </c>
      <c r="EY119" s="37" t="str">
        <f>IF(VLOOKUP(BH119,Fundamentus!A:U,15,FALSE)&gt;1,"Bom",IF(VLOOKUP(BH119,Fundamentus!A:U,15,FALSE)&lt;1,"Ruim","n/a"))</f>
        <v>Bom</v>
      </c>
      <c r="EZ119" s="20" t="str">
        <f>IF(VLOOKUP(BH119,Fundamentus!A:U,20,FALSE)&lt;0.5,"Baixa",IF(VLOOKUP(BH119,Fundamentus!A:U,20,FALSE)&lt;1,"Moderada",IF(VLOOKUP(BH119,Fundamentus!A:U,20,FALSE)&lt;2,"Alerta",IF(VLOOKUP(BH119,Fundamentus!A:U,20,FALSE)&gt;2,"Alta","n/a"))))</f>
        <v>Moderada</v>
      </c>
      <c r="FA119" s="10"/>
    </row>
    <row r="120" spans="1:157" s="2" customFormat="1" ht="11.25" hidden="1" x14ac:dyDescent="0.2">
      <c r="A120" s="4">
        <v>13.62</v>
      </c>
      <c r="B120" s="4">
        <v>12.6</v>
      </c>
      <c r="C120" s="4">
        <v>12.37</v>
      </c>
      <c r="D120" s="4">
        <v>11.68</v>
      </c>
      <c r="E120" s="4">
        <v>11.3</v>
      </c>
      <c r="F120" s="4">
        <v>11.31</v>
      </c>
      <c r="G120" s="4">
        <v>11.34</v>
      </c>
      <c r="H120" s="4">
        <v>10.62</v>
      </c>
      <c r="I120" s="4">
        <v>10.75</v>
      </c>
      <c r="J120" s="4">
        <v>12.11</v>
      </c>
      <c r="K120" s="4">
        <v>12.74</v>
      </c>
      <c r="L120" s="4">
        <v>12.39</v>
      </c>
      <c r="M120" s="4">
        <v>12.85</v>
      </c>
      <c r="N120" s="4">
        <v>13.22</v>
      </c>
      <c r="O120" s="4">
        <v>13.19</v>
      </c>
      <c r="P120" s="4">
        <v>13.34</v>
      </c>
      <c r="Q120" s="4">
        <v>14.02</v>
      </c>
      <c r="R120" s="4">
        <v>13.4</v>
      </c>
      <c r="S120" s="4">
        <v>13.19</v>
      </c>
      <c r="T120" s="4">
        <v>13.58</v>
      </c>
      <c r="U120" s="4">
        <v>13.3</v>
      </c>
      <c r="V120" s="4">
        <v>12.4</v>
      </c>
      <c r="W120" s="4">
        <v>13.34</v>
      </c>
      <c r="X120" s="4">
        <v>13.41</v>
      </c>
      <c r="Y120" s="4">
        <v>14.17</v>
      </c>
      <c r="Z120" s="4">
        <v>14.51</v>
      </c>
      <c r="AA120" s="4">
        <v>14.87</v>
      </c>
      <c r="AB120" s="4">
        <v>16.309999999999999</v>
      </c>
      <c r="AC120" s="4">
        <v>16.27</v>
      </c>
      <c r="AD120" s="4">
        <v>16.41</v>
      </c>
      <c r="AE120" s="4">
        <v>14.01</v>
      </c>
      <c r="AF120" s="4">
        <v>13.23</v>
      </c>
      <c r="AG120" s="4">
        <v>12.48</v>
      </c>
      <c r="AH120" s="4">
        <v>12.59</v>
      </c>
      <c r="AI120" s="4">
        <v>12.3</v>
      </c>
      <c r="AJ120" s="4">
        <v>12.43</v>
      </c>
      <c r="AK120" s="4">
        <v>12.06</v>
      </c>
      <c r="AL120" s="4">
        <v>11.94</v>
      </c>
      <c r="AM120" s="4">
        <v>12.48</v>
      </c>
      <c r="AN120" s="4">
        <v>14.37</v>
      </c>
      <c r="AO120" s="4">
        <v>14.66</v>
      </c>
      <c r="AP120" s="4">
        <v>16.09</v>
      </c>
      <c r="AQ120" s="4">
        <v>16.98</v>
      </c>
      <c r="AR120" s="4">
        <v>14.73</v>
      </c>
      <c r="AS120" s="4">
        <v>14.78</v>
      </c>
      <c r="AT120" s="4">
        <v>13.59</v>
      </c>
      <c r="AU120" s="4">
        <v>14.17</v>
      </c>
      <c r="AV120" s="4">
        <v>14.36</v>
      </c>
      <c r="AW120" s="4">
        <v>13.67</v>
      </c>
      <c r="AX120" s="4">
        <v>14.5</v>
      </c>
      <c r="AY120" s="12">
        <v>15.95</v>
      </c>
      <c r="AZ120" s="12">
        <v>16.2</v>
      </c>
      <c r="BA120" s="12">
        <v>16.149999999999999</v>
      </c>
      <c r="BB120" s="18">
        <v>17.16</v>
      </c>
      <c r="BC120" s="63">
        <v>20.67</v>
      </c>
      <c r="BD120" s="63">
        <v>22.58</v>
      </c>
      <c r="BE120" s="63">
        <v>23.09</v>
      </c>
      <c r="BF120" s="63">
        <v>24.62</v>
      </c>
      <c r="BG120" s="91" cm="1">
        <f t="array" aca="1" ref="BG120" ca="1">_FV(EE120,"Preço")</f>
        <v>23.1</v>
      </c>
      <c r="BH120" s="93" t="s">
        <v>64</v>
      </c>
      <c r="BI120" s="32" cm="1">
        <f t="array" aca="1" ref="BI120" ca="1">_FV(EE120,"Beta")</f>
        <v>1.4650000000000001</v>
      </c>
      <c r="BJ120" s="96" cm="1">
        <f t="array" aca="1" ref="BJ120" ca="1">_FV(EE120,"Variação (%)",TRUE)</f>
        <v>-2.0355999999999999E-2</v>
      </c>
      <c r="BK120" s="49"/>
      <c r="BL120" s="49"/>
      <c r="BN120" s="32"/>
      <c r="BO120" s="20" cm="1">
        <f t="array" aca="1" ref="BO120" ca="1">_FV(EE120,"Baixo")</f>
        <v>22.83</v>
      </c>
      <c r="BP120" s="20" cm="1">
        <f t="array" aca="1" ref="BP120" ca="1">_FV(EE120,"Alto")</f>
        <v>23.48</v>
      </c>
      <c r="BQ120" s="32"/>
      <c r="BR120" s="74">
        <f ca="1">SQRT(22.5*(BG120/VLOOKUP(BH120,Fundamentus!A:U,3,FALSE))*(BG120/VLOOKUP(BH120,Fundamentus!A:U,4,FALSE)))</f>
        <v>16.289342131565903</v>
      </c>
      <c r="BT120" s="73">
        <f t="shared" ca="1" si="99"/>
        <v>-6.1738424045491451E-2</v>
      </c>
      <c r="BU120" s="36">
        <f t="shared" si="100"/>
        <v>0.69530102790014692</v>
      </c>
      <c r="BV120" s="8"/>
      <c r="BW120" s="72">
        <f t="shared" si="101"/>
        <v>10.62</v>
      </c>
      <c r="BX120" s="72">
        <f t="shared" si="102"/>
        <v>14.249137931034484</v>
      </c>
      <c r="BY120" s="72">
        <f t="shared" si="103"/>
        <v>24.62</v>
      </c>
      <c r="BZ120" s="17"/>
      <c r="CA120" s="17"/>
      <c r="CB120" s="43">
        <f t="shared" si="104"/>
        <v>22.933677198638229</v>
      </c>
      <c r="CC120" s="18">
        <f t="shared" si="105"/>
        <v>25.75633552015006</v>
      </c>
      <c r="CD120" s="43">
        <f t="shared" si="106"/>
        <v>28.578993841661891</v>
      </c>
      <c r="CE120" s="98">
        <f t="shared" ca="1" si="107"/>
        <v>-0.94107582908841436</v>
      </c>
      <c r="CF120" s="17"/>
      <c r="CG120" s="20">
        <f t="shared" si="108"/>
        <v>1.2866666666666635</v>
      </c>
      <c r="CH120" s="20">
        <f t="shared" si="109"/>
        <v>5.9533333333333314</v>
      </c>
      <c r="CI120" s="20">
        <f t="shared" si="110"/>
        <v>15.286666666666665</v>
      </c>
      <c r="CJ120" s="49">
        <f t="shared" si="111"/>
        <v>19.953333333333333</v>
      </c>
      <c r="CK120" s="20">
        <f t="shared" si="112"/>
        <v>29.286666666666669</v>
      </c>
      <c r="CL120" s="20">
        <f t="shared" si="113"/>
        <v>33.953333333333333</v>
      </c>
      <c r="CM120" s="20">
        <f t="shared" si="114"/>
        <v>43.286666666666669</v>
      </c>
      <c r="CN120" s="2" cm="1">
        <f t="array" aca="1" ref="CN120" ca="1">MAX(_xlfn._xlws.FILTER(CG120:CM120,CG120:CM120&lt;BG120))</f>
        <v>19.953333333333333</v>
      </c>
      <c r="CO120" s="2" cm="1">
        <f t="array" aca="1" ref="CO120" ca="1">MIN(_xlfn._xlws.FILTER($CG120:$CM120,$CG120:$CM120&gt;BG120))</f>
        <v>29.286666666666669</v>
      </c>
      <c r="CP120" s="19">
        <f t="shared" ca="1" si="141"/>
        <v>0.46775810223855685</v>
      </c>
      <c r="CQ120" s="23">
        <f t="shared" ca="1" si="142"/>
        <v>-0.23387905111927842</v>
      </c>
      <c r="CR120" s="23">
        <f t="shared" ca="1" si="143"/>
        <v>-0.15591936741285228</v>
      </c>
      <c r="CS120" s="23">
        <f t="shared" ca="1" si="144"/>
        <v>-9.355162044771137E-2</v>
      </c>
      <c r="CT120" s="23">
        <f t="shared" ca="1" si="145"/>
        <v>-5.1973122470950761E-2</v>
      </c>
      <c r="CU120" s="23">
        <f t="shared" ca="1" si="146"/>
        <v>-2.7515182484620992E-2</v>
      </c>
      <c r="CV120" s="23">
        <f t="shared" ca="1" si="147"/>
        <v>-1.4174487946622934E-2</v>
      </c>
      <c r="CW120" s="23">
        <f t="shared" ca="1" si="148"/>
        <v>-7.1962784959777974E-3</v>
      </c>
      <c r="CX120" s="24">
        <f t="shared" ca="1" si="149"/>
        <v>7.1962784959777974E-3</v>
      </c>
      <c r="CY120" s="24">
        <f t="shared" ca="1" si="150"/>
        <v>1.4174487946622934E-2</v>
      </c>
      <c r="CZ120" s="24">
        <f t="shared" ca="1" si="151"/>
        <v>2.7515182484620992E-2</v>
      </c>
      <c r="DA120" s="24">
        <f t="shared" ca="1" si="152"/>
        <v>5.1973122470950761E-2</v>
      </c>
      <c r="DB120" s="24">
        <f t="shared" ca="1" si="153"/>
        <v>9.355162044771137E-2</v>
      </c>
      <c r="DC120" s="24">
        <f t="shared" ca="1" si="154"/>
        <v>0.15591936741285228</v>
      </c>
      <c r="DD120" s="24">
        <f t="shared" ca="1" si="155"/>
        <v>0.23387905111927842</v>
      </c>
      <c r="DF120" s="19" cm="1">
        <f t="array" aca="1" ref="DF120" ca="1">MAX(_xlfn._xlws.FILTER(CQ120:DD120,CQ120:DD120&lt;BJ120))</f>
        <v>-2.7515182484620992E-2</v>
      </c>
      <c r="DG120" s="19" cm="1">
        <f t="array" aca="1" ref="DG120" ca="1">MIN(_xlfn._xlws.FILTER(CQ120:DD120,CQ120:DD120&gt;BJ120))</f>
        <v>-1.4174487946622934E-2</v>
      </c>
      <c r="DH120" s="2" cm="1">
        <f t="array" aca="1" ref="DH120" ca="1">_FV(EE120,"Fechamento anterior",TRUE)</f>
        <v>23.58</v>
      </c>
      <c r="DI120" s="36">
        <f t="shared" ca="1" si="115"/>
        <v>0.53662486368594031</v>
      </c>
      <c r="DJ120" s="18">
        <f t="shared" ca="1" si="156"/>
        <v>22.931191997012636</v>
      </c>
      <c r="DK120" s="18">
        <f t="shared" ca="1" si="157"/>
        <v>23.24576557421863</v>
      </c>
      <c r="DL120" s="9"/>
      <c r="DM120" s="9"/>
      <c r="DN120" s="9"/>
      <c r="DO120" s="9"/>
      <c r="DP120" s="80">
        <v>8.4144329668626398E-3</v>
      </c>
      <c r="DQ120" s="80">
        <v>9.964008765057852E-3</v>
      </c>
      <c r="DR120" s="80">
        <v>1.1679786960685843E-2</v>
      </c>
      <c r="DS120" s="80">
        <f t="shared" ca="1" si="116"/>
        <v>1.3340694537998058E-2</v>
      </c>
      <c r="DT120" s="47"/>
      <c r="DU120" s="43">
        <f t="shared" si="117"/>
        <v>1.4113291607559164</v>
      </c>
      <c r="DV120" s="83">
        <f t="shared" ca="1" si="118"/>
        <v>1.8911</v>
      </c>
      <c r="DW120" s="83">
        <f t="shared" ca="1" si="119"/>
        <v>3.5006000000000004</v>
      </c>
      <c r="DX120" s="83">
        <f t="shared" ca="1" si="120"/>
        <v>-1.6095000000000004</v>
      </c>
      <c r="DY120" s="67"/>
      <c r="DZ120" s="67"/>
      <c r="EA120" s="85"/>
      <c r="EB120" s="44">
        <v>3374900</v>
      </c>
      <c r="EC120" s="44" cm="1">
        <f t="array" aca="1" ref="EC120" ca="1">_FV(EE120,"Volume")</f>
        <v>1435100</v>
      </c>
      <c r="EE120" s="2" t="e" vm="119">
        <v>#VALUE!</v>
      </c>
      <c r="EG120" s="10" cm="1">
        <f t="array" aca="1" ref="EG120" ca="1">_FV(EE120,"Ações em circulação",TRUE)</f>
        <v>122578100</v>
      </c>
      <c r="EH120" s="21">
        <f>VLOOKUP(BH120,Fundamentus!A:U,5,FALSE)</f>
        <v>0.89</v>
      </c>
      <c r="EI120" s="2">
        <f t="shared" ca="1" si="121"/>
        <v>3181521471.9101124</v>
      </c>
      <c r="EJ120" s="20">
        <v>172256111.6377528</v>
      </c>
      <c r="EK120" s="20">
        <f t="shared" ca="1" si="122"/>
        <v>161621290.77303371</v>
      </c>
      <c r="EM120" s="40" t="str">
        <f>IF(VLOOKUP(BH120,Fundamentus!A:U,3,FALSE)&lt;15,"Bom",IF(VLOOKUP(BH120,Fundamentus!A:U,3,FALSE)&gt;15,"Ruim","n/a"))</f>
        <v>Ruim</v>
      </c>
      <c r="EN120" s="36" t="str">
        <f>IF(VLOOKUP(BH120,Fundamentus!A:U,4,FALSE)&lt;1,"Baixo",IF(VLOOKUP(BH120,Fundamentus!A:U,4,FALSE)&lt;1.5,"Moderado",IF(VLOOKUP(BH120,Fundamentus!A:U,4,FALSE)&gt;1.5,"Alto","n/a")))</f>
        <v>Alto</v>
      </c>
      <c r="EO120" s="20" t="str">
        <f>IF(VLOOKUP(BH120,Fundamentus!A:U,8,FALSE)&lt;0,"Risco elevado",IF(VLOOKUP(BH120,Fundamentus!A:U,8,FALSE)&lt;1,"Saudável",IF(VLOOKUP(BH120,Fundamentus!A:U,8,FALSE)&lt;3,"Estável",IF(VLOOKUP(BH120,Fundamentus!A:U,8,FALSE)&gt;3,"Alerta","n/a"))))</f>
        <v>Estável</v>
      </c>
      <c r="EP120" s="36" t="str">
        <f t="shared" si="123"/>
        <v>Ruim</v>
      </c>
      <c r="EQ120" s="20" t="str">
        <f>IF(VLOOKUP(BH120,Fundamentus!A:U,12,FALSE)&lt;2,"Subvalorizada",IF(VLOOKUP(BH120,Fundamentus!A:U,12,FALSE)&lt;6,"Muita barata",IF(VLOOKUP(BH120,Fundamentus!A:U,12,FALSE)&lt;6,"Barata",IF(VLOOKUP(BH120,Fundamentus!A:U,12,FALSE)&lt;8,"Atrativa",IF(VLOOKUP(BH120,Fundamentus!A:U,12,FALSE)&gt;8,"Supervalorizada","n/a")))))</f>
        <v>Atrativa</v>
      </c>
      <c r="ES120" s="20" t="str">
        <f>IF(VLOOKUP(BH120,Fundamentus!A:U,17,FALSE)&lt;0.1,"Fraco retorno",IF(VLOOKUP(BH120,Fundamentus!A:U,17,FALSE)&gt;0.1,"Bom retorno","n/a"))</f>
        <v>Bom retorno</v>
      </c>
      <c r="ET120" s="20" t="str">
        <f>IF(VLOOKUP(BH120,Fundamentus!A:U,16,FALSE)&lt;0.1,"Ineficiente",IF(VLOOKUP(BH120,Fundamentus!A:U,16,FALSE)&gt;0.1,"Eficiente","n/a"))</f>
        <v>Eficiente</v>
      </c>
      <c r="EU120" s="41" t="str">
        <f>IF(VLOOKUP(BH120,Fundamentus!A:U,16,FALSE)&lt;0.1,"Oper. Ineficiente",IF(VLOOKUP(BH120,Fundamentus!A:U,16,FALSE)&gt;0.1,"Oper.Eficiente","n/a"))</f>
        <v>Oper.Eficiente</v>
      </c>
      <c r="EV120" s="42">
        <f>VLOOKUP(BH120,Fundamentus!A:U,14,FALSE)</f>
        <v>5.0799999999999998E-2</v>
      </c>
      <c r="EW120" s="20" t="str">
        <f>IF(VLOOKUP(BH120,Fundamentus!A:U,21,FALSE)&lt;0,"Negativo",IF(VLOOKUP(BH120,Fundamentus!A:U,21,FALSE)&lt;0.05,"Fraco",IF(VLOOKUP(BH120,Fundamentus!A:U,21,FALSE)&lt;0.1,"Bom",IF(VLOOKUP(BH120,Fundamentus!A:U,21,FALSE)&gt;0.1,"Muito bom","n/a"))))</f>
        <v>Bom</v>
      </c>
      <c r="EY120" s="37" t="str">
        <f>IF(VLOOKUP(BH120,Fundamentus!A:U,15,FALSE)&gt;1,"Bom",IF(VLOOKUP(BH120,Fundamentus!A:U,15,FALSE)&lt;1,"Ruim","n/a"))</f>
        <v>Bom</v>
      </c>
      <c r="EZ120" s="20" t="str">
        <f>IF(VLOOKUP(BH120,Fundamentus!A:U,20,FALSE)&lt;0.5,"Baixa",IF(VLOOKUP(BH120,Fundamentus!A:U,20,FALSE)&lt;1,"Moderada",IF(VLOOKUP(BH120,Fundamentus!A:U,20,FALSE)&lt;2,"Alerta",IF(VLOOKUP(BH120,Fundamentus!A:U,20,FALSE)&gt;2,"Alta","n/a"))))</f>
        <v>Moderada</v>
      </c>
    </row>
    <row r="121" spans="1:157" s="2" customFormat="1" ht="11.25" hidden="1" x14ac:dyDescent="0.2">
      <c r="A121" s="4">
        <v>38.950000000000003</v>
      </c>
      <c r="B121" s="4">
        <v>38.11</v>
      </c>
      <c r="C121" s="4">
        <v>38.200000000000003</v>
      </c>
      <c r="D121" s="4">
        <v>36.03</v>
      </c>
      <c r="E121" s="4">
        <v>34.909999999999997</v>
      </c>
      <c r="F121" s="4">
        <v>35.729999999999997</v>
      </c>
      <c r="G121" s="4">
        <v>35.69</v>
      </c>
      <c r="H121" s="4">
        <v>34.69</v>
      </c>
      <c r="I121" s="4">
        <v>35.81</v>
      </c>
      <c r="J121" s="4">
        <v>37.94</v>
      </c>
      <c r="K121" s="4">
        <v>39.1</v>
      </c>
      <c r="L121" s="4">
        <v>37.090000000000003</v>
      </c>
      <c r="M121" s="4">
        <v>38.369999999999997</v>
      </c>
      <c r="N121" s="4">
        <v>38.35</v>
      </c>
      <c r="O121" s="4">
        <v>39.86</v>
      </c>
      <c r="P121" s="4">
        <v>40.31</v>
      </c>
      <c r="Q121" s="4">
        <v>41.88</v>
      </c>
      <c r="R121" s="4">
        <v>41.75</v>
      </c>
      <c r="S121" s="4">
        <v>41.75</v>
      </c>
      <c r="T121" s="4">
        <v>41.52</v>
      </c>
      <c r="U121" s="4">
        <v>39.93</v>
      </c>
      <c r="V121" s="4">
        <v>39.49</v>
      </c>
      <c r="W121" s="4">
        <v>38.159999999999997</v>
      </c>
      <c r="X121" s="4">
        <v>38.130000000000003</v>
      </c>
      <c r="Y121" s="4">
        <v>37.97</v>
      </c>
      <c r="Z121" s="4">
        <v>37.950000000000003</v>
      </c>
      <c r="AA121" s="4">
        <v>36.72</v>
      </c>
      <c r="AB121" s="4">
        <v>35.630000000000003</v>
      </c>
      <c r="AC121" s="4">
        <v>35.68</v>
      </c>
      <c r="AD121" s="4">
        <v>35.26</v>
      </c>
      <c r="AE121" s="4">
        <v>34.42</v>
      </c>
      <c r="AF121" s="4">
        <v>36.47</v>
      </c>
      <c r="AG121" s="4">
        <v>35.5</v>
      </c>
      <c r="AH121" s="4">
        <v>34.75</v>
      </c>
      <c r="AI121" s="4">
        <v>35</v>
      </c>
      <c r="AJ121" s="4">
        <v>33.549999999999997</v>
      </c>
      <c r="AK121" s="4">
        <v>34.15</v>
      </c>
      <c r="AL121" s="4">
        <v>34.85</v>
      </c>
      <c r="AM121" s="4">
        <v>34.97</v>
      </c>
      <c r="AN121" s="4">
        <v>36.090000000000003</v>
      </c>
      <c r="AO121" s="4">
        <v>34.75</v>
      </c>
      <c r="AP121" s="4">
        <v>37.54</v>
      </c>
      <c r="AQ121" s="4">
        <v>37.590000000000003</v>
      </c>
      <c r="AR121" s="4">
        <v>38.22</v>
      </c>
      <c r="AS121" s="4">
        <v>38.979999999999997</v>
      </c>
      <c r="AT121" s="4">
        <v>40.380000000000003</v>
      </c>
      <c r="AU121" s="4">
        <v>42.05</v>
      </c>
      <c r="AV121" s="4">
        <v>41.05</v>
      </c>
      <c r="AW121" s="4">
        <v>40.86</v>
      </c>
      <c r="AX121" s="4">
        <v>41.46</v>
      </c>
      <c r="AY121" s="12">
        <v>42.13</v>
      </c>
      <c r="AZ121" s="12">
        <v>43.43</v>
      </c>
      <c r="BA121" s="12">
        <v>43.95</v>
      </c>
      <c r="BB121" s="18">
        <v>43.42</v>
      </c>
      <c r="BC121" s="63">
        <v>41.79</v>
      </c>
      <c r="BD121" s="63">
        <v>41.7</v>
      </c>
      <c r="BE121" s="63">
        <v>41.96</v>
      </c>
      <c r="BF121" s="63">
        <v>41.31</v>
      </c>
      <c r="BG121" s="91" cm="1">
        <f t="array" aca="1" ref="BG121" ca="1">_FV(EE121,"Preço")</f>
        <v>41.3</v>
      </c>
      <c r="BH121" s="93" t="s">
        <v>118</v>
      </c>
      <c r="BI121" s="32" cm="1">
        <f t="array" aca="1" ref="BI121" ca="1">_FV(EE121,"Beta")</f>
        <v>0.88290000000000002</v>
      </c>
      <c r="BJ121" s="96" cm="1">
        <f t="array" aca="1" ref="BJ121" ca="1">_FV(EE121,"Variação (%)",TRUE)</f>
        <v>-2.8970000000000003E-3</v>
      </c>
      <c r="BK121" s="49"/>
      <c r="BL121" s="49"/>
      <c r="BN121" s="32"/>
      <c r="BO121" s="20" cm="1">
        <f t="array" aca="1" ref="BO121" ca="1">_FV(EE121,"Baixo")</f>
        <v>40.81</v>
      </c>
      <c r="BP121" s="20" cm="1">
        <f t="array" aca="1" ref="BP121" ca="1">_FV(EE121,"Alto")</f>
        <v>41.45</v>
      </c>
      <c r="BQ121" s="32"/>
      <c r="BR121" s="74">
        <f ca="1">SQRT(22.5*(BG121/VLOOKUP(BH121,Fundamentus!A:U,3,FALSE))*(BG121/VLOOKUP(BH121,Fundamentus!A:U,4,FALSE)))</f>
        <v>70.227894786859281</v>
      </c>
      <c r="BT121" s="73">
        <f t="shared" ca="1" si="99"/>
        <v>-2.4207213749709793E-4</v>
      </c>
      <c r="BU121" s="36">
        <f t="shared" si="100"/>
        <v>7.7278562259306752E-2</v>
      </c>
      <c r="BV121" s="8"/>
      <c r="BW121" s="72">
        <f t="shared" si="101"/>
        <v>33.549999999999997</v>
      </c>
      <c r="BX121" s="72">
        <f t="shared" si="102"/>
        <v>38.332413793103449</v>
      </c>
      <c r="BY121" s="72">
        <f t="shared" si="103"/>
        <v>43.95</v>
      </c>
      <c r="BZ121" s="17"/>
      <c r="CA121" s="17"/>
      <c r="CB121" s="43">
        <f t="shared" si="104"/>
        <v>40.931663824114651</v>
      </c>
      <c r="CC121" s="18">
        <f t="shared" si="105"/>
        <v>41.408528584817304</v>
      </c>
      <c r="CD121" s="43">
        <f t="shared" si="106"/>
        <v>41.885393345519958</v>
      </c>
      <c r="CE121" s="98">
        <f t="shared" ca="1" si="107"/>
        <v>-0.22758776441646017</v>
      </c>
      <c r="CF121" s="17"/>
      <c r="CG121" s="20">
        <f t="shared" si="108"/>
        <v>24.856666666666655</v>
      </c>
      <c r="CH121" s="20">
        <f t="shared" si="109"/>
        <v>29.203333333333326</v>
      </c>
      <c r="CI121" s="20">
        <f t="shared" si="110"/>
        <v>35.256666666666661</v>
      </c>
      <c r="CJ121" s="49">
        <f t="shared" si="111"/>
        <v>39.603333333333332</v>
      </c>
      <c r="CK121" s="20">
        <f t="shared" si="112"/>
        <v>45.656666666666666</v>
      </c>
      <c r="CL121" s="20">
        <f t="shared" si="113"/>
        <v>50.003333333333337</v>
      </c>
      <c r="CM121" s="20">
        <f t="shared" si="114"/>
        <v>56.056666666666672</v>
      </c>
      <c r="CN121" s="2" cm="1">
        <f t="array" aca="1" ref="CN121" ca="1">MAX(_xlfn._xlws.FILTER(CG121:CM121,CG121:CM121&lt;BG121))</f>
        <v>39.603333333333332</v>
      </c>
      <c r="CO121" s="2" cm="1">
        <f t="array" aca="1" ref="CO121" ca="1">MIN(_xlfn._xlws.FILTER($CG121:$CM121,$CG121:$CM121&gt;BG121))</f>
        <v>45.656666666666666</v>
      </c>
      <c r="CP121" s="19">
        <f t="shared" ca="1" si="141"/>
        <v>0.15284908677720743</v>
      </c>
      <c r="CQ121" s="23">
        <f t="shared" ca="1" si="142"/>
        <v>-7.6424543388603716E-2</v>
      </c>
      <c r="CR121" s="23">
        <f t="shared" ca="1" si="143"/>
        <v>-5.0949695592402477E-2</v>
      </c>
      <c r="CS121" s="23">
        <f t="shared" ca="1" si="144"/>
        <v>-3.0569817355441488E-2</v>
      </c>
      <c r="CT121" s="23">
        <f t="shared" ca="1" si="145"/>
        <v>-1.6983231864134158E-2</v>
      </c>
      <c r="CU121" s="23">
        <f t="shared" ca="1" si="146"/>
        <v>-8.9911227516004371E-3</v>
      </c>
      <c r="CV121" s="23">
        <f t="shared" ca="1" si="147"/>
        <v>-4.6317905084002249E-3</v>
      </c>
      <c r="CW121" s="23">
        <f t="shared" ca="1" si="148"/>
        <v>-2.3515244119570373E-3</v>
      </c>
      <c r="CX121" s="24">
        <f t="shared" ca="1" si="149"/>
        <v>2.3515244119570373E-3</v>
      </c>
      <c r="CY121" s="24">
        <f t="shared" ca="1" si="150"/>
        <v>4.6317905084002249E-3</v>
      </c>
      <c r="CZ121" s="24">
        <f t="shared" ca="1" si="151"/>
        <v>8.9911227516004371E-3</v>
      </c>
      <c r="DA121" s="24">
        <f t="shared" ca="1" si="152"/>
        <v>1.6983231864134158E-2</v>
      </c>
      <c r="DB121" s="24">
        <f t="shared" ca="1" si="153"/>
        <v>3.0569817355441488E-2</v>
      </c>
      <c r="DC121" s="24">
        <f t="shared" ca="1" si="154"/>
        <v>5.0949695592402477E-2</v>
      </c>
      <c r="DD121" s="24">
        <f t="shared" ca="1" si="155"/>
        <v>7.6424543388603716E-2</v>
      </c>
      <c r="DF121" s="19" cm="1">
        <f t="array" aca="1" ref="DF121" ca="1">MAX(_xlfn._xlws.FILTER(CQ121:DD121,CQ121:DD121&lt;BJ121))</f>
        <v>-4.6317905084002249E-3</v>
      </c>
      <c r="DG121" s="19" cm="1">
        <f t="array" aca="1" ref="DG121" ca="1">MIN(_xlfn._xlws.FILTER(CQ121:DD121,CQ121:DD121&gt;BJ121))</f>
        <v>-2.3515244119570373E-3</v>
      </c>
      <c r="DH121" s="2" cm="1">
        <f t="array" aca="1" ref="DH121" ca="1">_FV(EE121,"Fechamento anterior",TRUE)</f>
        <v>41.42</v>
      </c>
      <c r="DI121" s="36">
        <f t="shared" ca="1" si="115"/>
        <v>0.76071796023645077</v>
      </c>
      <c r="DJ121" s="18">
        <f t="shared" ca="1" si="156"/>
        <v>41.228151237142065</v>
      </c>
      <c r="DK121" s="18">
        <f t="shared" ca="1" si="157"/>
        <v>41.322599858856741</v>
      </c>
      <c r="DL121" s="9"/>
      <c r="DM121" s="9"/>
      <c r="DN121" s="9"/>
      <c r="DO121" s="9"/>
      <c r="DP121" s="79">
        <v>1.8090739945613311E-2</v>
      </c>
      <c r="DQ121" s="79">
        <v>4.1747861412953797E-3</v>
      </c>
      <c r="DR121" s="79">
        <v>4.1747861412953797E-3</v>
      </c>
      <c r="DS121" s="79">
        <f t="shared" ca="1" si="116"/>
        <v>2.2802660964431876E-3</v>
      </c>
      <c r="DT121" s="47"/>
      <c r="DU121" s="43">
        <f t="shared" si="117"/>
        <v>0.23843238035132655</v>
      </c>
      <c r="DV121" s="83">
        <f t="shared" ca="1" si="118"/>
        <v>1.3089999999999999</v>
      </c>
      <c r="DW121" s="83">
        <f t="shared" ca="1" si="119"/>
        <v>1.1726000000000001</v>
      </c>
      <c r="DX121" s="83">
        <f t="shared" ca="1" si="120"/>
        <v>0.13639999999999985</v>
      </c>
      <c r="DY121" s="67"/>
      <c r="DZ121" s="67"/>
      <c r="EA121" s="85"/>
      <c r="EB121" s="44">
        <v>6022100</v>
      </c>
      <c r="EC121" s="44" cm="1">
        <f t="array" aca="1" ref="EC121" ca="1">_FV(EE121,"Volume")</f>
        <v>5428000</v>
      </c>
      <c r="EE121" s="2" t="e" vm="120">
        <v>#VALUE!</v>
      </c>
      <c r="EG121" s="10" cm="1">
        <f t="array" aca="1" ref="EG121" ca="1">_FV(EE121,"Ações em circulação",TRUE)</f>
        <v>2307100000</v>
      </c>
      <c r="EH121" s="21">
        <f>VLOOKUP(BH121,Fundamentus!A:U,5,FALSE)</f>
        <v>2.2799999999999998</v>
      </c>
      <c r="EI121" s="2">
        <f t="shared" ca="1" si="121"/>
        <v>41790890350.877197</v>
      </c>
      <c r="EJ121" s="20">
        <v>9676933632.2368431</v>
      </c>
      <c r="EK121" s="20">
        <f t="shared" ca="1" si="122"/>
        <v>9674591116.2280712</v>
      </c>
      <c r="EM121" s="40" t="str">
        <f>IF(VLOOKUP(BH121,Fundamentus!A:U,3,FALSE)&lt;15,"Bom",IF(VLOOKUP(BH121,Fundamentus!A:U,3,FALSE)&gt;15,"Ruim","n/a"))</f>
        <v>Bom</v>
      </c>
      <c r="EN121" s="36" t="str">
        <f>IF(VLOOKUP(BH121,Fundamentus!A:U,4,FALSE)&lt;1,"Baixo",IF(VLOOKUP(BH121,Fundamentus!A:U,4,FALSE)&lt;1.5,"Moderado",IF(VLOOKUP(BH121,Fundamentus!A:U,4,FALSE)&gt;1.5,"Alto","n/a")))</f>
        <v>Baixo</v>
      </c>
      <c r="EO121" s="20" t="str">
        <f>IF(VLOOKUP(BH121,Fundamentus!A:U,8,FALSE)&lt;0,"Risco elevado",IF(VLOOKUP(BH121,Fundamentus!A:U,8,FALSE)&lt;1,"Saudável",IF(VLOOKUP(BH121,Fundamentus!A:U,8,FALSE)&lt;3,"Estável",IF(VLOOKUP(BH121,Fundamentus!A:U,8,FALSE)&gt;3,"Alerta","n/a"))))</f>
        <v>Estável</v>
      </c>
      <c r="EP121" s="36" t="str">
        <f t="shared" si="123"/>
        <v>Bom</v>
      </c>
      <c r="EQ121" s="20" t="str">
        <f>IF(VLOOKUP(BH121,Fundamentus!A:U,12,FALSE)&lt;2,"Subvalorizada",IF(VLOOKUP(BH121,Fundamentus!A:U,12,FALSE)&lt;6,"Muita barata",IF(VLOOKUP(BH121,Fundamentus!A:U,12,FALSE)&lt;6,"Barata",IF(VLOOKUP(BH121,Fundamentus!A:U,12,FALSE)&lt;8,"Atrativa",IF(VLOOKUP(BH121,Fundamentus!A:U,12,FALSE)&gt;8,"Supervalorizada","n/a")))))</f>
        <v>Atrativa</v>
      </c>
      <c r="ES121" s="20" t="str">
        <f>IF(VLOOKUP(BH121,Fundamentus!A:U,17,FALSE)&lt;0.1,"Fraco retorno",IF(VLOOKUP(BH121,Fundamentus!A:U,17,FALSE)&gt;0.1,"Bom retorno","n/a"))</f>
        <v>Fraco retorno</v>
      </c>
      <c r="ET121" s="20" t="str">
        <f>IF(VLOOKUP(BH121,Fundamentus!A:U,16,FALSE)&lt;0.1,"Ineficiente",IF(VLOOKUP(BH121,Fundamentus!A:U,16,FALSE)&gt;0.1,"Eficiente","n/a"))</f>
        <v>Ineficiente</v>
      </c>
      <c r="EU121" s="41" t="str">
        <f>IF(VLOOKUP(BH121,Fundamentus!A:U,16,FALSE)&lt;0.1,"Oper. Ineficiente",IF(VLOOKUP(BH121,Fundamentus!A:U,16,FALSE)&gt;0.1,"Oper.Eficiente","n/a"))</f>
        <v>Oper. Ineficiente</v>
      </c>
      <c r="EV121" s="42">
        <f>VLOOKUP(BH121,Fundamentus!A:U,14,FALSE)</f>
        <v>0.23150000000000001</v>
      </c>
      <c r="EW121" s="20" t="str">
        <f>IF(VLOOKUP(BH121,Fundamentus!A:U,21,FALSE)&lt;0,"Negativo",IF(VLOOKUP(BH121,Fundamentus!A:U,21,FALSE)&lt;0.05,"Fraco",IF(VLOOKUP(BH121,Fundamentus!A:U,21,FALSE)&lt;0.1,"Bom",IF(VLOOKUP(BH121,Fundamentus!A:U,21,FALSE)&gt;0.1,"Muito bom","n/a"))))</f>
        <v>Bom</v>
      </c>
      <c r="EY121" s="37" t="str">
        <f>IF(VLOOKUP(BH121,Fundamentus!A:U,15,FALSE)&gt;1,"Bom",IF(VLOOKUP(BH121,Fundamentus!A:U,15,FALSE)&lt;1,"Ruim","n/a"))</f>
        <v>Bom</v>
      </c>
      <c r="EZ121" s="20" t="str">
        <f>IF(VLOOKUP(BH121,Fundamentus!A:U,20,FALSE)&lt;0.5,"Baixa",IF(VLOOKUP(BH121,Fundamentus!A:U,20,FALSE)&lt;1,"Moderada",IF(VLOOKUP(BH121,Fundamentus!A:U,20,FALSE)&lt;2,"Alerta",IF(VLOOKUP(BH121,Fundamentus!A:U,20,FALSE)&gt;2,"Alta","n/a"))))</f>
        <v>Moderada</v>
      </c>
      <c r="FA121" s="10"/>
    </row>
    <row r="122" spans="1:157" s="2" customFormat="1" ht="11.25" hidden="1" x14ac:dyDescent="0.2">
      <c r="A122" s="4">
        <v>7.24</v>
      </c>
      <c r="B122" s="4">
        <v>7.26</v>
      </c>
      <c r="C122" s="4">
        <v>6.47</v>
      </c>
      <c r="D122" s="4">
        <v>6.13</v>
      </c>
      <c r="E122" s="4">
        <v>5.97</v>
      </c>
      <c r="F122" s="4">
        <v>5.96</v>
      </c>
      <c r="G122" s="4">
        <v>5.76</v>
      </c>
      <c r="H122" s="4">
        <v>5.74</v>
      </c>
      <c r="I122" s="4">
        <v>5.72</v>
      </c>
      <c r="J122" s="4">
        <v>6</v>
      </c>
      <c r="K122" s="4">
        <v>5.99</v>
      </c>
      <c r="L122" s="4">
        <v>5.83</v>
      </c>
      <c r="M122" s="4">
        <v>5.88</v>
      </c>
      <c r="N122" s="4">
        <v>5.97</v>
      </c>
      <c r="O122" s="4">
        <v>5.99</v>
      </c>
      <c r="P122" s="4">
        <v>6.06</v>
      </c>
      <c r="Q122" s="4">
        <v>6.27</v>
      </c>
      <c r="R122" s="4">
        <v>6.17</v>
      </c>
      <c r="S122" s="4">
        <v>6.02</v>
      </c>
      <c r="T122" s="4">
        <v>6.1</v>
      </c>
      <c r="U122" s="4">
        <v>5.7</v>
      </c>
      <c r="V122" s="4">
        <v>5.81</v>
      </c>
      <c r="W122" s="4">
        <v>5.63</v>
      </c>
      <c r="X122" s="4">
        <v>6</v>
      </c>
      <c r="Y122" s="4">
        <v>5.83</v>
      </c>
      <c r="Z122" s="4">
        <v>5.81</v>
      </c>
      <c r="AA122" s="4">
        <v>5.7</v>
      </c>
      <c r="AB122" s="4">
        <v>5.84</v>
      </c>
      <c r="AC122" s="4">
        <v>5.79</v>
      </c>
      <c r="AD122" s="4">
        <v>6.07</v>
      </c>
      <c r="AE122" s="4">
        <v>5.82</v>
      </c>
      <c r="AF122" s="4">
        <v>6.08</v>
      </c>
      <c r="AG122" s="4">
        <v>5.82</v>
      </c>
      <c r="AH122" s="4">
        <v>5.59</v>
      </c>
      <c r="AI122" s="4">
        <v>5.57</v>
      </c>
      <c r="AJ122" s="4">
        <v>5.17</v>
      </c>
      <c r="AK122" s="4">
        <v>5.26</v>
      </c>
      <c r="AL122" s="4">
        <v>5.53</v>
      </c>
      <c r="AM122" s="4">
        <v>5.77</v>
      </c>
      <c r="AN122" s="4">
        <v>5.97</v>
      </c>
      <c r="AO122" s="4">
        <v>5.87</v>
      </c>
      <c r="AP122" s="4">
        <v>5.97</v>
      </c>
      <c r="AQ122" s="4">
        <v>5.91</v>
      </c>
      <c r="AR122" s="4">
        <v>6.03</v>
      </c>
      <c r="AS122" s="4">
        <v>6.11</v>
      </c>
      <c r="AT122" s="4">
        <v>6.19</v>
      </c>
      <c r="AU122" s="4">
        <v>6.0949999999999998</v>
      </c>
      <c r="AV122" s="4">
        <v>5.98</v>
      </c>
      <c r="AW122" s="4">
        <v>5.9</v>
      </c>
      <c r="AX122" s="4">
        <v>5.92</v>
      </c>
      <c r="AY122" s="12">
        <v>5.98</v>
      </c>
      <c r="AZ122" s="12">
        <v>6.07</v>
      </c>
      <c r="BA122" s="12">
        <v>5.97</v>
      </c>
      <c r="BB122" s="18">
        <v>6</v>
      </c>
      <c r="BC122" s="63">
        <v>6.93</v>
      </c>
      <c r="BD122" s="63">
        <v>7.06</v>
      </c>
      <c r="BE122" s="63">
        <v>7.19</v>
      </c>
      <c r="BF122" s="63">
        <v>7.39</v>
      </c>
      <c r="BG122" s="91" cm="1">
        <f t="array" aca="1" ref="BG122" ca="1">_FV(EE122,"Preço")</f>
        <v>7.65</v>
      </c>
      <c r="BH122" s="95" t="s">
        <v>119</v>
      </c>
      <c r="BI122" s="32" cm="1">
        <f t="array" aca="1" ref="BI122" ca="1">_FV(EE122,"Beta")</f>
        <v>1.0591999999999999</v>
      </c>
      <c r="BJ122" s="96" cm="1">
        <f t="array" aca="1" ref="BJ122" ca="1">_FV(EE122,"Variação (%)",TRUE)</f>
        <v>-1.1628000000000001E-2</v>
      </c>
      <c r="BK122" s="72"/>
      <c r="BL122" s="72"/>
      <c r="BN122" s="32"/>
      <c r="BO122" s="20" cm="1">
        <f t="array" aca="1" ref="BO122" ca="1">_FV(EE122,"Baixo")</f>
        <v>7.57</v>
      </c>
      <c r="BP122" s="20" cm="1">
        <f t="array" aca="1" ref="BP122" ca="1">_FV(EE122,"Alto")</f>
        <v>7.72</v>
      </c>
      <c r="BQ122" s="32"/>
      <c r="BR122" s="74">
        <f ca="1">SQRT(22.5*(BG122/VLOOKUP(BH122,Fundamentus!A:U,3,FALSE))*(BG122/VLOOKUP(BH122,Fundamentus!A:U,4,FALSE)))</f>
        <v>9.9907334642977634</v>
      </c>
      <c r="BT122" s="73">
        <f t="shared" ca="1" si="99"/>
        <v>3.5182679296346504E-2</v>
      </c>
      <c r="BU122" s="36">
        <f t="shared" si="100"/>
        <v>-6.9060773480662738E-3</v>
      </c>
      <c r="BV122" s="8"/>
      <c r="BW122" s="72">
        <f t="shared" si="101"/>
        <v>5.17</v>
      </c>
      <c r="BX122" s="72">
        <f t="shared" si="102"/>
        <v>6.03198275862069</v>
      </c>
      <c r="BY122" s="72">
        <f t="shared" si="103"/>
        <v>7.39</v>
      </c>
      <c r="BZ122" s="17"/>
      <c r="CA122" s="17"/>
      <c r="CB122" s="43">
        <f t="shared" si="104"/>
        <v>7.168496900428118</v>
      </c>
      <c r="CC122" s="18">
        <f t="shared" si="105"/>
        <v>7.5083130271790424</v>
      </c>
      <c r="CD122" s="43">
        <f t="shared" si="106"/>
        <v>7.8481291539299667</v>
      </c>
      <c r="CE122" s="98">
        <f t="shared" ca="1" si="107"/>
        <v>0.41695187975822751</v>
      </c>
      <c r="CF122" s="17"/>
      <c r="CG122" s="20">
        <f t="shared" si="108"/>
        <v>3.6899999999999995</v>
      </c>
      <c r="CH122" s="20">
        <f t="shared" si="109"/>
        <v>4.43</v>
      </c>
      <c r="CI122" s="20">
        <f t="shared" si="110"/>
        <v>5.9099999999999993</v>
      </c>
      <c r="CJ122" s="49">
        <f t="shared" si="111"/>
        <v>6.6499999999999995</v>
      </c>
      <c r="CK122" s="20">
        <f t="shared" si="112"/>
        <v>8.129999999999999</v>
      </c>
      <c r="CL122" s="20">
        <f t="shared" si="113"/>
        <v>8.8699999999999992</v>
      </c>
      <c r="CM122" s="20">
        <f t="shared" si="114"/>
        <v>10.349999999999998</v>
      </c>
      <c r="CN122" s="2" cm="1">
        <f t="array" aca="1" ref="CN122" ca="1">MAX(_xlfn._xlws.FILTER(CG122:CM122,CG122:CM122&lt;BG122))</f>
        <v>6.6499999999999995</v>
      </c>
      <c r="CO122" s="2" cm="1">
        <f t="array" aca="1" ref="CO122" ca="1">MIN(_xlfn._xlws.FILTER($CG122:$CM122,$CG122:$CM122&gt;BG122))</f>
        <v>8.129999999999999</v>
      </c>
      <c r="CP122" s="19">
        <f t="shared" ca="1" si="141"/>
        <v>0.22255639097744351</v>
      </c>
      <c r="CQ122" s="23">
        <f t="shared" ca="1" si="142"/>
        <v>-0.11127819548872175</v>
      </c>
      <c r="CR122" s="23">
        <f t="shared" ca="1" si="143"/>
        <v>-7.4185463659147841E-2</v>
      </c>
      <c r="CS122" s="23">
        <f t="shared" ca="1" si="144"/>
        <v>-4.4511278195488703E-2</v>
      </c>
      <c r="CT122" s="23">
        <f t="shared" ca="1" si="145"/>
        <v>-2.4728487886382614E-2</v>
      </c>
      <c r="CU122" s="23">
        <f t="shared" ca="1" si="146"/>
        <v>-1.3091552410437853E-2</v>
      </c>
      <c r="CV122" s="23">
        <f t="shared" ca="1" si="147"/>
        <v>-6.7441330599225307E-3</v>
      </c>
      <c r="CW122" s="23">
        <f t="shared" ca="1" si="148"/>
        <v>-3.4239444765760542E-3</v>
      </c>
      <c r="CX122" s="24">
        <f t="shared" ca="1" si="149"/>
        <v>3.4239444765760542E-3</v>
      </c>
      <c r="CY122" s="24">
        <f t="shared" ca="1" si="150"/>
        <v>6.7441330599225307E-3</v>
      </c>
      <c r="CZ122" s="24">
        <f t="shared" ca="1" si="151"/>
        <v>1.3091552410437853E-2</v>
      </c>
      <c r="DA122" s="24">
        <f t="shared" ca="1" si="152"/>
        <v>2.4728487886382614E-2</v>
      </c>
      <c r="DB122" s="24">
        <f t="shared" ca="1" si="153"/>
        <v>4.4511278195488703E-2</v>
      </c>
      <c r="DC122" s="24">
        <f t="shared" ca="1" si="154"/>
        <v>7.4185463659147841E-2</v>
      </c>
      <c r="DD122" s="24">
        <f t="shared" ca="1" si="155"/>
        <v>0.11127819548872175</v>
      </c>
      <c r="DF122" s="19" cm="1">
        <f t="array" aca="1" ref="DF122" ca="1">MAX(_xlfn._xlws.FILTER(CQ122:DD122,CQ122:DD122&lt;BJ122))</f>
        <v>-1.3091552410437853E-2</v>
      </c>
      <c r="DG122" s="19" cm="1">
        <f t="array" aca="1" ref="DG122" ca="1">MIN(_xlfn._xlws.FILTER(CQ122:DD122,CQ122:DD122&gt;BJ122))</f>
        <v>-6.7441330599225307E-3</v>
      </c>
      <c r="DH122" s="2" cm="1">
        <f t="array" aca="1" ref="DH122" ca="1">_FV(EE122,"Fechamento anterior",TRUE)</f>
        <v>7.74</v>
      </c>
      <c r="DI122" s="36">
        <f t="shared" ca="1" si="115"/>
        <v>0.23058905562539794</v>
      </c>
      <c r="DJ122" s="18">
        <f t="shared" ca="1" si="156"/>
        <v>7.638671384343211</v>
      </c>
      <c r="DK122" s="18">
        <f t="shared" ca="1" si="157"/>
        <v>7.6878004101161999</v>
      </c>
      <c r="DL122" s="9"/>
      <c r="DM122" s="9"/>
      <c r="DN122" s="9"/>
      <c r="DO122" s="9"/>
      <c r="DP122" s="79">
        <v>3.5248263006270153E-2</v>
      </c>
      <c r="DQ122" s="79">
        <v>3.1550892760857196E-3</v>
      </c>
      <c r="DR122" s="79">
        <v>1.925925925925925E-2</v>
      </c>
      <c r="DS122" s="79">
        <f t="shared" ca="1" si="116"/>
        <v>6.3474193505153225E-3</v>
      </c>
      <c r="DT122" s="47"/>
      <c r="DU122" s="43">
        <f t="shared" si="117"/>
        <v>0.16990806337546199</v>
      </c>
      <c r="DV122" s="83">
        <f t="shared" ca="1" si="118"/>
        <v>1.4852999999999998</v>
      </c>
      <c r="DW122" s="83">
        <f t="shared" ca="1" si="119"/>
        <v>2.222</v>
      </c>
      <c r="DX122" s="83">
        <f t="shared" ca="1" si="120"/>
        <v>-0.73670000000000013</v>
      </c>
      <c r="DY122" s="67"/>
      <c r="DZ122" s="67"/>
      <c r="EA122" s="85"/>
      <c r="EB122" s="44">
        <v>632500</v>
      </c>
      <c r="EC122" s="44" cm="1">
        <f t="array" aca="1" ref="EC122" ca="1">_FV(EE122,"Volume")</f>
        <v>483500</v>
      </c>
      <c r="EE122" s="2" t="e" vm="121">
        <v>#VALUE!</v>
      </c>
      <c r="EG122" s="10" cm="1">
        <f t="array" aca="1" ref="EG122" ca="1">_FV(EE122,"Ações em circulação",TRUE)</f>
        <v>159907300</v>
      </c>
      <c r="EH122" s="21">
        <f>VLOOKUP(BH122,Fundamentus!A:U,5,FALSE)</f>
        <v>0.88200000000000001</v>
      </c>
      <c r="EI122" s="2">
        <f t="shared" ca="1" si="121"/>
        <v>1386951071.4285715</v>
      </c>
      <c r="EJ122" s="20">
        <v>321823050.19206345</v>
      </c>
      <c r="EK122" s="20">
        <f t="shared" ca="1" si="122"/>
        <v>333145647.35714287</v>
      </c>
      <c r="EM122" s="40" t="str">
        <f>IF(VLOOKUP(BH122,Fundamentus!A:U,3,FALSE)&lt;15,"Bom",IF(VLOOKUP(BH122,Fundamentus!A:U,3,FALSE)&gt;15,"Ruim","n/a"))</f>
        <v>Bom</v>
      </c>
      <c r="EN122" s="36" t="str">
        <f>IF(VLOOKUP(BH122,Fundamentus!A:U,4,FALSE)&lt;1,"Baixo",IF(VLOOKUP(BH122,Fundamentus!A:U,4,FALSE)&lt;1.5,"Moderado",IF(VLOOKUP(BH122,Fundamentus!A:U,4,FALSE)&gt;1.5,"Alto","n/a")))</f>
        <v>Alto</v>
      </c>
      <c r="EO122" s="20" t="str">
        <f>IF(VLOOKUP(BH122,Fundamentus!A:U,8,FALSE)&lt;0,"Risco elevado",IF(VLOOKUP(BH122,Fundamentus!A:U,8,FALSE)&lt;1,"Saudável",IF(VLOOKUP(BH122,Fundamentus!A:U,8,FALSE)&lt;3,"Estável",IF(VLOOKUP(BH122,Fundamentus!A:U,8,FALSE)&gt;3,"Alerta","n/a"))))</f>
        <v>Alerta</v>
      </c>
      <c r="EP122" s="36" t="str">
        <f t="shared" si="123"/>
        <v>Ruim</v>
      </c>
      <c r="EQ122" s="20" t="str">
        <f>IF(VLOOKUP(BH122,Fundamentus!A:U,12,FALSE)&lt;2,"Subvalorizada",IF(VLOOKUP(BH122,Fundamentus!A:U,12,FALSE)&lt;6,"Muita barata",IF(VLOOKUP(BH122,Fundamentus!A:U,12,FALSE)&lt;6,"Barata",IF(VLOOKUP(BH122,Fundamentus!A:U,12,FALSE)&lt;8,"Atrativa",IF(VLOOKUP(BH122,Fundamentus!A:U,12,FALSE)&gt;8,"Supervalorizada","n/a")))))</f>
        <v>Subvalorizada</v>
      </c>
      <c r="ES122" s="20" t="str">
        <f>IF(VLOOKUP(BH122,Fundamentus!A:U,17,FALSE)&lt;0.1,"Fraco retorno",IF(VLOOKUP(BH122,Fundamentus!A:U,17,FALSE)&gt;0.1,"Bom retorno","n/a"))</f>
        <v>Bom retorno</v>
      </c>
      <c r="ET122" s="20" t="str">
        <f>IF(VLOOKUP(BH122,Fundamentus!A:U,16,FALSE)&lt;0.1,"Ineficiente",IF(VLOOKUP(BH122,Fundamentus!A:U,16,FALSE)&gt;0.1,"Eficiente","n/a"))</f>
        <v>Eficiente</v>
      </c>
      <c r="EU122" s="41" t="str">
        <f>IF(VLOOKUP(BH122,Fundamentus!A:U,16,FALSE)&lt;0.1,"Oper. Ineficiente",IF(VLOOKUP(BH122,Fundamentus!A:U,16,FALSE)&gt;0.1,"Oper.Eficiente","n/a"))</f>
        <v>Oper.Eficiente</v>
      </c>
      <c r="EV122" s="42">
        <f>VLOOKUP(BH122,Fundamentus!A:U,14,FALSE)</f>
        <v>0.2402</v>
      </c>
      <c r="EW122" s="20" t="str">
        <f>IF(VLOOKUP(BH122,Fundamentus!A:U,21,FALSE)&lt;0,"Negativo",IF(VLOOKUP(BH122,Fundamentus!A:U,21,FALSE)&lt;0.05,"Fraco",IF(VLOOKUP(BH122,Fundamentus!A:U,21,FALSE)&lt;0.1,"Bom",IF(VLOOKUP(BH122,Fundamentus!A:U,21,FALSE)&gt;0.1,"Muito bom","n/a"))))</f>
        <v>Muito bom</v>
      </c>
      <c r="EY122" s="37" t="str">
        <f>IF(VLOOKUP(BH122,Fundamentus!A:U,15,FALSE)&gt;1,"Bom",IF(VLOOKUP(BH122,Fundamentus!A:U,15,FALSE)&lt;1,"Ruim","n/a"))</f>
        <v>Bom</v>
      </c>
      <c r="EZ122" s="20" t="str">
        <f>IF(VLOOKUP(BH122,Fundamentus!A:U,20,FALSE)&lt;0.5,"Baixa",IF(VLOOKUP(BH122,Fundamentus!A:U,20,FALSE)&lt;1,"Moderada",IF(VLOOKUP(BH122,Fundamentus!A:U,20,FALSE)&lt;2,"Alerta",IF(VLOOKUP(BH122,Fundamentus!A:U,20,FALSE)&gt;2,"Alta","n/a"))))</f>
        <v>Moderada</v>
      </c>
      <c r="FA122" s="10">
        <v>3</v>
      </c>
    </row>
    <row r="123" spans="1:157" s="2" customFormat="1" ht="11.25" x14ac:dyDescent="0.2">
      <c r="A123" s="4">
        <v>5.63</v>
      </c>
      <c r="B123" s="4">
        <v>5.52</v>
      </c>
      <c r="C123" s="4">
        <v>5.81</v>
      </c>
      <c r="D123" s="4">
        <v>5.69</v>
      </c>
      <c r="E123" s="4">
        <v>5.56</v>
      </c>
      <c r="F123" s="4">
        <v>5.48</v>
      </c>
      <c r="G123" s="4">
        <v>5.31</v>
      </c>
      <c r="H123" s="4">
        <v>5.5</v>
      </c>
      <c r="I123" s="4">
        <v>5.59</v>
      </c>
      <c r="J123" s="4">
        <v>5.53</v>
      </c>
      <c r="K123" s="4">
        <v>5.46</v>
      </c>
      <c r="L123" s="4">
        <v>5.33</v>
      </c>
      <c r="M123" s="4">
        <v>5.41</v>
      </c>
      <c r="N123" s="4">
        <v>5.78</v>
      </c>
      <c r="O123" s="4">
        <v>5.8</v>
      </c>
      <c r="P123" s="4">
        <v>5.76</v>
      </c>
      <c r="Q123" s="4">
        <v>5.85</v>
      </c>
      <c r="R123" s="4">
        <v>5.85</v>
      </c>
      <c r="S123" s="4">
        <v>6.05</v>
      </c>
      <c r="T123" s="4">
        <v>6.52</v>
      </c>
      <c r="U123" s="4">
        <v>6.4</v>
      </c>
      <c r="V123" s="4">
        <v>5.94</v>
      </c>
      <c r="W123" s="4">
        <v>5.68</v>
      </c>
      <c r="X123" s="4">
        <v>5.55</v>
      </c>
      <c r="Y123" s="4">
        <v>5.57</v>
      </c>
      <c r="Z123" s="4">
        <v>5.52</v>
      </c>
      <c r="AA123" s="4">
        <v>5.31</v>
      </c>
      <c r="AB123" s="4">
        <v>5.29</v>
      </c>
      <c r="AC123" s="4">
        <v>5.23</v>
      </c>
      <c r="AD123" s="4">
        <v>5.26</v>
      </c>
      <c r="AE123" s="4">
        <v>6</v>
      </c>
      <c r="AF123" s="4">
        <v>6.18</v>
      </c>
      <c r="AG123" s="4">
        <v>5.63</v>
      </c>
      <c r="AH123" s="4">
        <v>5.46</v>
      </c>
      <c r="AI123" s="4">
        <v>5.55</v>
      </c>
      <c r="AJ123" s="4">
        <v>5.03</v>
      </c>
      <c r="AK123" s="4">
        <v>5.12</v>
      </c>
      <c r="AL123" s="4">
        <v>5.18</v>
      </c>
      <c r="AM123" s="4">
        <v>5.13</v>
      </c>
      <c r="AN123" s="4">
        <v>5.14</v>
      </c>
      <c r="AO123" s="4">
        <v>5.38</v>
      </c>
      <c r="AP123" s="4">
        <v>5.41</v>
      </c>
      <c r="AQ123" s="4">
        <v>5.45</v>
      </c>
      <c r="AR123" s="4">
        <v>5.36</v>
      </c>
      <c r="AS123" s="4">
        <v>5.56</v>
      </c>
      <c r="AT123" s="4">
        <v>5.47</v>
      </c>
      <c r="AU123" s="4">
        <v>5.72</v>
      </c>
      <c r="AV123" s="4">
        <v>5.48</v>
      </c>
      <c r="AW123" s="4">
        <v>5.67</v>
      </c>
      <c r="AX123" s="4">
        <v>5.53</v>
      </c>
      <c r="AY123" s="12">
        <v>5.69</v>
      </c>
      <c r="AZ123" s="12">
        <v>5.92</v>
      </c>
      <c r="BA123" s="12">
        <v>6.08</v>
      </c>
      <c r="BB123" s="18">
        <v>6.12</v>
      </c>
      <c r="BC123" s="63">
        <v>6.15</v>
      </c>
      <c r="BD123" s="63">
        <v>6.4</v>
      </c>
      <c r="BE123" s="63">
        <v>6.51</v>
      </c>
      <c r="BF123" s="63">
        <v>6.57</v>
      </c>
      <c r="BG123" s="91" cm="1">
        <f t="array" aca="1" ref="BG123" ca="1">_FV(EE123,"Preço")</f>
        <v>7.06</v>
      </c>
      <c r="BH123" s="90" t="s">
        <v>86</v>
      </c>
      <c r="BI123" s="32" cm="1">
        <f t="array" aca="1" ref="BI123" ca="1">_FV(EE123,"Beta")</f>
        <v>0.57999999999999996</v>
      </c>
      <c r="BJ123" s="96" cm="1">
        <f t="array" aca="1" ref="BJ123" ca="1">_FV(EE123,"Variação (%)",TRUE)</f>
        <v>2.0230999999999999E-2</v>
      </c>
      <c r="BK123" s="18">
        <v>6.94</v>
      </c>
      <c r="BL123" s="18">
        <v>1000</v>
      </c>
      <c r="BN123" s="32"/>
      <c r="BO123" s="20" cm="1">
        <f t="array" aca="1" ref="BO123" ca="1">_FV(EE123,"Baixo")</f>
        <v>6.79</v>
      </c>
      <c r="BP123" s="20" cm="1">
        <f t="array" aca="1" ref="BP123" ca="1">_FV(EE123,"Alto")</f>
        <v>7.13</v>
      </c>
      <c r="BQ123" s="32"/>
      <c r="BR123" s="74">
        <f ca="1">SQRT(22.5*(BG123/VLOOKUP(BH123,Fundamentus!A:U,3,FALSE))*(BG123/VLOOKUP(BH123,Fundamentus!A:U,4,FALSE)))</f>
        <v>17.957666525558398</v>
      </c>
      <c r="BT123" s="73">
        <f t="shared" ca="1" si="99"/>
        <v>7.4581430745814206E-2</v>
      </c>
      <c r="BU123" s="36">
        <f t="shared" si="100"/>
        <v>0.15630550621669625</v>
      </c>
      <c r="BV123" s="8"/>
      <c r="BW123" s="72">
        <f t="shared" si="101"/>
        <v>5.03</v>
      </c>
      <c r="BX123" s="72">
        <f t="shared" si="102"/>
        <v>5.6563793103448274</v>
      </c>
      <c r="BY123" s="72">
        <f t="shared" si="103"/>
        <v>6.57</v>
      </c>
      <c r="BZ123" s="17"/>
      <c r="CA123" s="17"/>
      <c r="CB123" s="46">
        <f t="shared" si="104"/>
        <v>6.4223376888504999</v>
      </c>
      <c r="CC123" s="18">
        <f t="shared" si="105"/>
        <v>6.7437019681349284</v>
      </c>
      <c r="CD123" s="46">
        <f t="shared" si="106"/>
        <v>7.0650662474193568</v>
      </c>
      <c r="CE123" s="102">
        <f t="shared" ca="1" si="107"/>
        <v>0.98423518808425725</v>
      </c>
      <c r="CF123" s="17"/>
      <c r="CG123" s="20">
        <f t="shared" si="108"/>
        <v>4.0033333333333347</v>
      </c>
      <c r="CH123" s="20">
        <f t="shared" si="109"/>
        <v>4.5166666666666675</v>
      </c>
      <c r="CI123" s="20">
        <f t="shared" si="110"/>
        <v>5.5433333333333348</v>
      </c>
      <c r="CJ123" s="49">
        <f t="shared" si="111"/>
        <v>6.0566666666666675</v>
      </c>
      <c r="CK123" s="20">
        <f t="shared" si="112"/>
        <v>7.0833333333333348</v>
      </c>
      <c r="CL123" s="20">
        <f t="shared" si="113"/>
        <v>7.5966666666666676</v>
      </c>
      <c r="CM123" s="20">
        <f t="shared" si="114"/>
        <v>8.6233333333333348</v>
      </c>
      <c r="CN123" s="2" cm="1">
        <f t="array" aca="1" ref="CN123" ca="1">MAX(_xlfn._xlws.FILTER(CG123:CM123,CG123:CM123&lt;BG123))</f>
        <v>6.0566666666666675</v>
      </c>
      <c r="CO123" s="2" cm="1">
        <f t="array" aca="1" ref="CO123" ca="1">MIN(_xlfn._xlws.FILTER($CG123:$CM123,$CG123:$CM123&gt;BG123))</f>
        <v>7.0833333333333348</v>
      </c>
      <c r="CP123" s="19">
        <f t="shared" ca="1" si="141"/>
        <v>0.16951018161805176</v>
      </c>
      <c r="CQ123" s="23">
        <f t="shared" ca="1" si="142"/>
        <v>-8.4755090809025879E-2</v>
      </c>
      <c r="CR123" s="23">
        <f t="shared" ca="1" si="143"/>
        <v>-5.6503393872683917E-2</v>
      </c>
      <c r="CS123" s="23">
        <f t="shared" ca="1" si="144"/>
        <v>-3.390203632361035E-2</v>
      </c>
      <c r="CT123" s="23">
        <f t="shared" ca="1" si="145"/>
        <v>-1.8834464624227974E-2</v>
      </c>
      <c r="CU123" s="23">
        <f t="shared" ca="1" si="146"/>
        <v>-9.9711871540030441E-3</v>
      </c>
      <c r="CV123" s="23">
        <f t="shared" ca="1" si="147"/>
        <v>-5.1366721702439926E-3</v>
      </c>
      <c r="CW123" s="23">
        <f t="shared" ca="1" si="148"/>
        <v>-2.607848947970027E-3</v>
      </c>
      <c r="CX123" s="24">
        <f t="shared" ca="1" si="149"/>
        <v>2.607848947970027E-3</v>
      </c>
      <c r="CY123" s="24">
        <f t="shared" ca="1" si="150"/>
        <v>5.1366721702439926E-3</v>
      </c>
      <c r="CZ123" s="24">
        <f t="shared" ca="1" si="151"/>
        <v>9.9711871540030441E-3</v>
      </c>
      <c r="DA123" s="24">
        <f t="shared" ca="1" si="152"/>
        <v>1.8834464624227974E-2</v>
      </c>
      <c r="DB123" s="24">
        <f t="shared" ca="1" si="153"/>
        <v>3.390203632361035E-2</v>
      </c>
      <c r="DC123" s="24">
        <f t="shared" ca="1" si="154"/>
        <v>5.6503393872683917E-2</v>
      </c>
      <c r="DD123" s="24">
        <f t="shared" ca="1" si="155"/>
        <v>8.4755090809025879E-2</v>
      </c>
      <c r="DF123" s="19" cm="1">
        <f t="array" aca="1" ref="DF123" ca="1">MAX(_xlfn._xlws.FILTER(CQ123:DD123,CQ123:DD123&lt;BJ123))</f>
        <v>1.8834464624227974E-2</v>
      </c>
      <c r="DG123" s="19" cm="1">
        <f t="array" aca="1" ref="DG123" ca="1">MIN(_xlfn._xlws.FILTER(CQ123:DD123,CQ123:DD123&gt;BJ123))</f>
        <v>3.390203632361035E-2</v>
      </c>
      <c r="DH123" s="2" cm="1">
        <f t="array" aca="1" ref="DH123" ca="1">_FV(EE123,"Fechamento anterior",TRUE)</f>
        <v>6.92</v>
      </c>
      <c r="DI123" s="36">
        <f t="shared" ca="1" si="115"/>
        <v>9.2699027850757662E-2</v>
      </c>
      <c r="DJ123" s="18">
        <f t="shared" ca="1" si="156"/>
        <v>7.0503344951996576</v>
      </c>
      <c r="DK123" s="18">
        <f t="shared" ca="1" si="157"/>
        <v>7.1546020913593837</v>
      </c>
      <c r="DL123" s="9"/>
      <c r="DM123" s="9"/>
      <c r="DN123" s="9"/>
      <c r="DO123" s="9"/>
      <c r="DP123" s="79">
        <v>1.6220411331005026E-2</v>
      </c>
      <c r="DQ123" s="79">
        <v>3.522511047160763E-3</v>
      </c>
      <c r="DR123" s="79">
        <v>3.9394781779913471E-3</v>
      </c>
      <c r="DS123" s="79">
        <f t="shared" ca="1" si="116"/>
        <v>1.5067571699382377E-2</v>
      </c>
      <c r="DT123" s="47"/>
      <c r="DU123" s="43">
        <f t="shared" si="117"/>
        <v>0.16068213964221403</v>
      </c>
      <c r="DV123" s="83">
        <f t="shared" ca="1" si="118"/>
        <v>1.0061</v>
      </c>
      <c r="DW123" s="83">
        <f t="shared" ca="1" si="119"/>
        <v>-1.4430999999999998</v>
      </c>
      <c r="DX123" s="97">
        <f t="shared" ca="1" si="120"/>
        <v>2.4491999999999998</v>
      </c>
      <c r="DY123" s="67"/>
      <c r="DZ123" s="67"/>
      <c r="EA123" s="44" cm="1">
        <f t="array" aca="1" ref="EA123" ca="1">_FV(EE123,"Média de volume",TRUE)</f>
        <v>1373040</v>
      </c>
      <c r="EB123" s="44">
        <v>1055800</v>
      </c>
      <c r="EC123" s="44" cm="1">
        <f t="array" aca="1" ref="EC123" ca="1">_FV(EE123,"Volume")</f>
        <v>2020900</v>
      </c>
      <c r="EE123" s="2" t="e" vm="122">
        <v>#VALUE!</v>
      </c>
      <c r="EG123" s="10" cm="1">
        <f t="array" aca="1" ref="EG123" ca="1">_FV(EE123,"Ações em circulação",TRUE)</f>
        <v>1511206000</v>
      </c>
      <c r="EH123" s="21">
        <f>VLOOKUP(BH123,Fundamentus!A:U,5,FALSE)</f>
        <v>1.43</v>
      </c>
      <c r="EI123" s="2">
        <f t="shared" ca="1" si="121"/>
        <v>7460919132.8671331</v>
      </c>
      <c r="EJ123" s="20">
        <v>2369677743.5286713</v>
      </c>
      <c r="EK123" s="20">
        <f t="shared" ca="1" si="122"/>
        <v>2546411700.0475526</v>
      </c>
      <c r="EM123" s="40" t="str">
        <f>IF(VLOOKUP(BH123,Fundamentus!A:U,3,FALSE)&lt;15,"Bom",IF(VLOOKUP(BH123,Fundamentus!A:U,3,FALSE)&gt;15,"Ruim","n/a"))</f>
        <v>Bom</v>
      </c>
      <c r="EN123" s="36" t="str">
        <f>IF(VLOOKUP(BH123,Fundamentus!A:U,4,FALSE)&lt;1,"Baixo",IF(VLOOKUP(BH123,Fundamentus!A:U,4,FALSE)&lt;1.5,"Moderado",IF(VLOOKUP(BH123,Fundamentus!A:U,4,FALSE)&gt;1.5,"Alto","n/a")))</f>
        <v>Baixo</v>
      </c>
      <c r="EO123" s="20" t="str">
        <f>IF(VLOOKUP(BH123,Fundamentus!A:U,8,FALSE)&lt;0,"Risco elevado",IF(VLOOKUP(BH123,Fundamentus!A:U,8,FALSE)&lt;1,"Saudável",IF(VLOOKUP(BH123,Fundamentus!A:U,8,FALSE)&lt;3,"Estável",IF(VLOOKUP(BH123,Fundamentus!A:U,8,FALSE)&gt;3,"Alerta","n/a"))))</f>
        <v>Alerta</v>
      </c>
      <c r="EP123" s="36" t="str">
        <f t="shared" si="123"/>
        <v>Bom</v>
      </c>
      <c r="EQ123" s="20" t="str">
        <f>IF(VLOOKUP(BH123,Fundamentus!A:U,12,FALSE)&lt;2,"Subvalorizada",IF(VLOOKUP(BH123,Fundamentus!A:U,12,FALSE)&lt;6,"Muita barata",IF(VLOOKUP(BH123,Fundamentus!A:U,12,FALSE)&lt;6,"Barata",IF(VLOOKUP(BH123,Fundamentus!A:U,12,FALSE)&lt;8,"Atrativa",IF(VLOOKUP(BH123,Fundamentus!A:U,12,FALSE)&gt;8,"Supervalorizada","n/a")))))</f>
        <v>Atrativa</v>
      </c>
      <c r="ES123" s="20" t="str">
        <f>IF(VLOOKUP(BH123,Fundamentus!A:U,17,FALSE)&lt;0.1,"Fraco retorno",IF(VLOOKUP(BH123,Fundamentus!A:U,17,FALSE)&gt;0.1,"Bom retorno","n/a"))</f>
        <v>Bom retorno</v>
      </c>
      <c r="ET123" s="20" t="str">
        <f>IF(VLOOKUP(BH123,Fundamentus!A:U,16,FALSE)&lt;0.1,"Ineficiente",IF(VLOOKUP(BH123,Fundamentus!A:U,16,FALSE)&gt;0.1,"Eficiente","n/a"))</f>
        <v>Ineficiente</v>
      </c>
      <c r="EU123" s="41" t="str">
        <f>IF(VLOOKUP(BH123,Fundamentus!A:U,16,FALSE)&lt;0.1,"Oper. Ineficiente",IF(VLOOKUP(BH123,Fundamentus!A:U,16,FALSE)&gt;0.1,"Oper.Eficiente","n/a"))</f>
        <v>Oper. Ineficiente</v>
      </c>
      <c r="EV123" s="42">
        <f>VLOOKUP(BH123,Fundamentus!A:U,14,FALSE)</f>
        <v>0.34129999999999999</v>
      </c>
      <c r="EW123" s="20" t="str">
        <f>IF(VLOOKUP(BH123,Fundamentus!A:U,21,FALSE)&lt;0,"Negativo",IF(VLOOKUP(BH123,Fundamentus!A:U,21,FALSE)&lt;0.05,"Fraco",IF(VLOOKUP(BH123,Fundamentus!A:U,21,FALSE)&lt;0.1,"Bom",IF(VLOOKUP(BH123,Fundamentus!A:U,21,FALSE)&gt;0.1,"Muito bom","n/a"))))</f>
        <v>Bom</v>
      </c>
      <c r="EY123" s="37" t="str">
        <f>IF(VLOOKUP(BH123,Fundamentus!A:U,15,FALSE)&gt;1,"Bom",IF(VLOOKUP(BH123,Fundamentus!A:U,15,FALSE)&lt;1,"Ruim","n/a"))</f>
        <v>Bom</v>
      </c>
      <c r="EZ123" s="20" t="str">
        <f>IF(VLOOKUP(BH123,Fundamentus!A:U,20,FALSE)&lt;0.5,"Baixa",IF(VLOOKUP(BH123,Fundamentus!A:U,20,FALSE)&lt;1,"Moderada",IF(VLOOKUP(BH123,Fundamentus!A:U,20,FALSE)&lt;2,"Alerta",IF(VLOOKUP(BH123,Fundamentus!A:U,20,FALSE)&gt;2,"Alta","n/a"))))</f>
        <v>Moderada</v>
      </c>
      <c r="FA123" s="10">
        <v>3</v>
      </c>
    </row>
    <row r="124" spans="1:157" s="2" customFormat="1" ht="11.25" hidden="1" x14ac:dyDescent="0.2">
      <c r="A124" s="4">
        <v>17.079999999999998</v>
      </c>
      <c r="B124" s="4">
        <v>17.21</v>
      </c>
      <c r="C124" s="4">
        <v>16.48</v>
      </c>
      <c r="D124" s="4">
        <v>15.4</v>
      </c>
      <c r="E124" s="4">
        <v>14.81</v>
      </c>
      <c r="F124" s="4">
        <v>15.1</v>
      </c>
      <c r="G124" s="4">
        <v>14.8</v>
      </c>
      <c r="H124" s="4">
        <v>15.11</v>
      </c>
      <c r="I124" s="4">
        <v>15.54</v>
      </c>
      <c r="J124" s="4">
        <v>15.7</v>
      </c>
      <c r="K124" s="4">
        <v>15.95</v>
      </c>
      <c r="L124" s="4">
        <v>15.07</v>
      </c>
      <c r="M124" s="4">
        <v>15.3</v>
      </c>
      <c r="N124" s="4">
        <v>14.89</v>
      </c>
      <c r="O124" s="4">
        <v>16.53</v>
      </c>
      <c r="P124" s="4">
        <v>13.84</v>
      </c>
      <c r="Q124" s="4">
        <v>13.75</v>
      </c>
      <c r="R124" s="4">
        <v>13.55</v>
      </c>
      <c r="S124" s="4">
        <v>13.6</v>
      </c>
      <c r="T124" s="4">
        <v>14.25</v>
      </c>
      <c r="U124" s="4">
        <v>13.63</v>
      </c>
      <c r="V124" s="4">
        <v>14</v>
      </c>
      <c r="W124" s="4">
        <v>14.84</v>
      </c>
      <c r="X124" s="4">
        <v>14.9</v>
      </c>
      <c r="Y124" s="4">
        <v>14.39</v>
      </c>
      <c r="Z124" s="4">
        <v>14.06</v>
      </c>
      <c r="AA124" s="4">
        <v>13.62</v>
      </c>
      <c r="AB124" s="4">
        <v>14.48</v>
      </c>
      <c r="AC124" s="4">
        <v>14.38</v>
      </c>
      <c r="AD124" s="4">
        <v>14.25</v>
      </c>
      <c r="AE124" s="4">
        <v>13.88</v>
      </c>
      <c r="AF124" s="4">
        <v>14.21</v>
      </c>
      <c r="AG124" s="4">
        <v>12.78</v>
      </c>
      <c r="AH124" s="4">
        <v>13.12</v>
      </c>
      <c r="AI124" s="4">
        <v>12.88</v>
      </c>
      <c r="AJ124" s="4">
        <v>12.42</v>
      </c>
      <c r="AK124" s="4">
        <v>12.6</v>
      </c>
      <c r="AL124" s="4">
        <v>12.41</v>
      </c>
      <c r="AM124" s="4">
        <v>12.08</v>
      </c>
      <c r="AN124" s="4">
        <v>12.62</v>
      </c>
      <c r="AO124" s="4">
        <v>12.49</v>
      </c>
      <c r="AP124" s="4">
        <v>13.53</v>
      </c>
      <c r="AQ124" s="4">
        <v>13.86</v>
      </c>
      <c r="AR124" s="4">
        <v>12.93</v>
      </c>
      <c r="AS124" s="4">
        <v>13.37</v>
      </c>
      <c r="AT124" s="4">
        <v>9.5</v>
      </c>
      <c r="AU124" s="4">
        <v>9.6449999999999996</v>
      </c>
      <c r="AV124" s="4">
        <v>10.45</v>
      </c>
      <c r="AW124" s="4">
        <v>9.15</v>
      </c>
      <c r="AX124" s="4">
        <v>9.3699999999999992</v>
      </c>
      <c r="AY124" s="12">
        <v>9.34</v>
      </c>
      <c r="AZ124" s="12">
        <v>9.9700000000000006</v>
      </c>
      <c r="BA124" s="12">
        <v>9.51</v>
      </c>
      <c r="BB124" s="18">
        <v>9.2899999999999991</v>
      </c>
      <c r="BC124" s="63">
        <v>10.36</v>
      </c>
      <c r="BD124" s="63">
        <v>10.31</v>
      </c>
      <c r="BE124" s="63">
        <v>10.47</v>
      </c>
      <c r="BF124" s="63">
        <v>10.54</v>
      </c>
      <c r="BG124" s="91" cm="1">
        <f t="array" aca="1" ref="BG124" ca="1">_FV(EE124,"Preço")</f>
        <v>10.24</v>
      </c>
      <c r="BH124" s="93" t="s">
        <v>121</v>
      </c>
      <c r="BI124" s="32" cm="1">
        <f t="array" aca="1" ref="BI124" ca="1">_FV(EE124,"Beta")</f>
        <v>1.1894</v>
      </c>
      <c r="BJ124" s="96" cm="1">
        <f t="array" aca="1" ref="BJ124" ca="1">_FV(EE124,"Variação (%)",TRUE)</f>
        <v>-6.7900000000000009E-3</v>
      </c>
      <c r="BK124" s="49"/>
      <c r="BL124" s="49"/>
      <c r="BN124" s="32"/>
      <c r="BO124" s="20" cm="1">
        <f t="array" aca="1" ref="BO124" ca="1">_FV(EE124,"Baixo")</f>
        <v>9.9499999999999993</v>
      </c>
      <c r="BP124" s="20" cm="1">
        <f t="array" aca="1" ref="BP124" ca="1">_FV(EE124,"Alto")</f>
        <v>10.36</v>
      </c>
      <c r="BQ124" s="32"/>
      <c r="BR124" s="74" t="e">
        <f ca="1">SQRT(22.5*(BG124/VLOOKUP(BH124,Fundamentus!A:U,3,FALSE))*(BG124/VLOOKUP(BH124,Fundamentus!A:U,4,FALSE)))</f>
        <v>#NUM!</v>
      </c>
      <c r="BT124" s="73">
        <f t="shared" ca="1" si="99"/>
        <v>-2.8462998102466695E-2</v>
      </c>
      <c r="BU124" s="36">
        <f t="shared" si="100"/>
        <v>-0.38700234192037458</v>
      </c>
      <c r="BV124" s="8"/>
      <c r="BW124" s="72">
        <f t="shared" si="101"/>
        <v>9.15</v>
      </c>
      <c r="BX124" s="72">
        <f t="shared" si="102"/>
        <v>13.268879310344825</v>
      </c>
      <c r="BY124" s="72">
        <f t="shared" si="103"/>
        <v>17.21</v>
      </c>
      <c r="BZ124" s="17"/>
      <c r="CA124" s="17"/>
      <c r="CB124" s="43">
        <f t="shared" si="104"/>
        <v>10.406464980496924</v>
      </c>
      <c r="CC124" s="18">
        <f t="shared" si="105"/>
        <v>10.587019681349602</v>
      </c>
      <c r="CD124" s="43">
        <f t="shared" si="106"/>
        <v>10.76757438220228</v>
      </c>
      <c r="CE124" s="98">
        <f t="shared" ca="1" si="107"/>
        <v>-1.9219642563211337</v>
      </c>
      <c r="CF124" s="17"/>
      <c r="CG124" s="20">
        <f t="shared" si="108"/>
        <v>-0.67000000000000348</v>
      </c>
      <c r="CH124" s="20">
        <f t="shared" si="109"/>
        <v>4.2399999999999984</v>
      </c>
      <c r="CI124" s="20">
        <f t="shared" si="110"/>
        <v>7.389999999999997</v>
      </c>
      <c r="CJ124" s="49">
        <f t="shared" si="111"/>
        <v>12.299999999999999</v>
      </c>
      <c r="CK124" s="20">
        <f t="shared" si="112"/>
        <v>15.449999999999998</v>
      </c>
      <c r="CL124" s="20">
        <f t="shared" si="113"/>
        <v>20.36</v>
      </c>
      <c r="CM124" s="20">
        <f t="shared" si="114"/>
        <v>23.509999999999998</v>
      </c>
      <c r="CN124" s="2" cm="1">
        <f t="array" aca="1" ref="CN124" ca="1">MAX(_xlfn._xlws.FILTER(CG124:CM124,CG124:CM124&lt;BG124))</f>
        <v>7.389999999999997</v>
      </c>
      <c r="CO124" s="2" cm="1">
        <f t="array" aca="1" ref="CO124" ca="1">MIN(_xlfn._xlws.FILTER($CG124:$CM124,$CG124:$CM124&gt;BG124))</f>
        <v>12.299999999999999</v>
      </c>
      <c r="CP124" s="19">
        <f t="shared" ca="1" si="141"/>
        <v>0.66441136671177325</v>
      </c>
      <c r="CQ124" s="23">
        <f t="shared" ca="1" si="142"/>
        <v>-0.33220568335588663</v>
      </c>
      <c r="CR124" s="23">
        <f t="shared" ca="1" si="143"/>
        <v>-0.22147045557059108</v>
      </c>
      <c r="CS124" s="23">
        <f t="shared" ca="1" si="144"/>
        <v>-0.13288227334235464</v>
      </c>
      <c r="CT124" s="23">
        <f t="shared" ca="1" si="145"/>
        <v>-7.3823485190197033E-2</v>
      </c>
      <c r="CU124" s="23">
        <f t="shared" ca="1" si="146"/>
        <v>-3.9083021571280782E-2</v>
      </c>
      <c r="CV124" s="23">
        <f t="shared" ca="1" si="147"/>
        <v>-2.0133677779144644E-2</v>
      </c>
      <c r="CW124" s="23">
        <f t="shared" ca="1" si="148"/>
        <v>-1.022171333402728E-2</v>
      </c>
      <c r="CX124" s="24">
        <f t="shared" ca="1" si="149"/>
        <v>1.022171333402728E-2</v>
      </c>
      <c r="CY124" s="24">
        <f t="shared" ca="1" si="150"/>
        <v>2.0133677779144644E-2</v>
      </c>
      <c r="CZ124" s="24">
        <f t="shared" ca="1" si="151"/>
        <v>3.9083021571280782E-2</v>
      </c>
      <c r="DA124" s="24">
        <f t="shared" ca="1" si="152"/>
        <v>7.3823485190197033E-2</v>
      </c>
      <c r="DB124" s="24">
        <f t="shared" ca="1" si="153"/>
        <v>0.13288227334235464</v>
      </c>
      <c r="DC124" s="24">
        <f t="shared" ca="1" si="154"/>
        <v>0.22147045557059108</v>
      </c>
      <c r="DD124" s="24">
        <f t="shared" ca="1" si="155"/>
        <v>0.33220568335588663</v>
      </c>
      <c r="DF124" s="19" cm="1">
        <f t="array" aca="1" ref="DF124" ca="1">MAX(_xlfn._xlws.FILTER(CQ124:DD124,CQ124:DD124&lt;BJ124))</f>
        <v>-1.022171333402728E-2</v>
      </c>
      <c r="DG124" s="19" cm="1">
        <f t="array" aca="1" ref="DG124" ca="1">MIN(_xlfn._xlws.FILTER(CQ124:DD124,CQ124:DD124&gt;BJ124))</f>
        <v>1.022171333402728E-2</v>
      </c>
      <c r="DH124" s="2" cm="1">
        <f t="array" aca="1" ref="DH124" ca="1">_FV(EE124,"Fechamento anterior",TRUE)</f>
        <v>10.31</v>
      </c>
      <c r="DI124" s="36">
        <f t="shared" ca="1" si="115"/>
        <v>0.16788714810329558</v>
      </c>
      <c r="DJ124" s="18">
        <f t="shared" ca="1" si="156"/>
        <v>10.20461413552618</v>
      </c>
      <c r="DK124" s="18">
        <f t="shared" ca="1" si="157"/>
        <v>10.415385864473821</v>
      </c>
      <c r="DL124" s="9"/>
      <c r="DM124" s="9"/>
      <c r="DN124" s="9"/>
      <c r="DO124" s="9"/>
      <c r="DP124" s="79">
        <v>2.367823368373121E-2</v>
      </c>
      <c r="DQ124" s="79">
        <v>2.5545171339563865E-2</v>
      </c>
      <c r="DR124" s="79">
        <v>2.5545171339563865E-2</v>
      </c>
      <c r="DS124" s="79">
        <f t="shared" ca="1" si="116"/>
        <v>2.044342666805456E-2</v>
      </c>
      <c r="DT124" s="47"/>
      <c r="DU124" s="43">
        <f t="shared" si="117"/>
        <v>9.0277350426338693E-2</v>
      </c>
      <c r="DV124" s="83">
        <f t="shared" ca="1" si="118"/>
        <v>1.6154999999999999</v>
      </c>
      <c r="DW124" s="83">
        <f t="shared" ca="1" si="119"/>
        <v>1.8684000000000001</v>
      </c>
      <c r="DX124" s="83">
        <f t="shared" ca="1" si="120"/>
        <v>-0.25290000000000012</v>
      </c>
      <c r="DY124" s="67"/>
      <c r="DZ124" s="67"/>
      <c r="EA124" s="85"/>
      <c r="EB124" s="44">
        <v>5368200</v>
      </c>
      <c r="EC124" s="44" cm="1">
        <f t="array" aca="1" ref="EC124" ca="1">_FV(EE124,"Volume")</f>
        <v>7714900</v>
      </c>
      <c r="EE124" s="2" t="e" vm="123">
        <v>#VALUE!</v>
      </c>
      <c r="EG124" s="10" cm="1">
        <f t="array" aca="1" ref="EG124" ca="1">_FV(EE124,"Ações em circulação",TRUE)</f>
        <v>1390615000</v>
      </c>
      <c r="EH124" s="21">
        <f>VLOOKUP(BH124,Fundamentus!A:U,5,FALSE)</f>
        <v>0.59199999999999997</v>
      </c>
      <c r="EI124" s="2">
        <f t="shared" ca="1" si="121"/>
        <v>24053881081.081081</v>
      </c>
      <c r="EJ124" s="20">
        <v>-8177760502.753377</v>
      </c>
      <c r="EK124" s="20">
        <f t="shared" ca="1" si="122"/>
        <v>-7944996921.0810804</v>
      </c>
      <c r="EM124" s="40" t="str">
        <f>IF(VLOOKUP(BH124,Fundamentus!A:U,3,FALSE)&lt;15,"Bom",IF(VLOOKUP(BH124,Fundamentus!A:U,3,FALSE)&gt;15,"Ruim","n/a"))</f>
        <v>Bom</v>
      </c>
      <c r="EN124" s="36" t="str">
        <f>IF(VLOOKUP(BH124,Fundamentus!A:U,4,FALSE)&lt;1,"Baixo",IF(VLOOKUP(BH124,Fundamentus!A:U,4,FALSE)&lt;1.5,"Moderado",IF(VLOOKUP(BH124,Fundamentus!A:U,4,FALSE)&gt;1.5,"Alto","n/a")))</f>
        <v>Baixo</v>
      </c>
      <c r="EO124" s="20" t="str">
        <f>IF(VLOOKUP(BH124,Fundamentus!A:U,8,FALSE)&lt;0,"Risco elevado",IF(VLOOKUP(BH124,Fundamentus!A:U,8,FALSE)&lt;1,"Saudável",IF(VLOOKUP(BH124,Fundamentus!A:U,8,FALSE)&lt;3,"Estável",IF(VLOOKUP(BH124,Fundamentus!A:U,8,FALSE)&gt;3,"Alerta","n/a"))))</f>
        <v>Estável</v>
      </c>
      <c r="EP124" s="36" t="str">
        <f t="shared" si="123"/>
        <v>Ruim</v>
      </c>
      <c r="EQ124" s="20" t="str">
        <f>IF(VLOOKUP(BH124,Fundamentus!A:U,12,FALSE)&lt;2,"Subvalorizada",IF(VLOOKUP(BH124,Fundamentus!A:U,12,FALSE)&lt;6,"Muita barata",IF(VLOOKUP(BH124,Fundamentus!A:U,12,FALSE)&lt;6,"Barata",IF(VLOOKUP(BH124,Fundamentus!A:U,12,FALSE)&lt;8,"Atrativa",IF(VLOOKUP(BH124,Fundamentus!A:U,12,FALSE)&gt;8,"Supervalorizada","n/a")))))</f>
        <v>Muita barata</v>
      </c>
      <c r="ES124" s="20" t="str">
        <f>IF(VLOOKUP(BH124,Fundamentus!A:U,17,FALSE)&lt;0.1,"Fraco retorno",IF(VLOOKUP(BH124,Fundamentus!A:U,17,FALSE)&gt;0.1,"Bom retorno","n/a"))</f>
        <v>Fraco retorno</v>
      </c>
      <c r="ET124" s="20" t="str">
        <f>IF(VLOOKUP(BH124,Fundamentus!A:U,16,FALSE)&lt;0.1,"Ineficiente",IF(VLOOKUP(BH124,Fundamentus!A:U,16,FALSE)&gt;0.1,"Eficiente","n/a"))</f>
        <v>Ineficiente</v>
      </c>
      <c r="EU124" s="41" t="str">
        <f>IF(VLOOKUP(BH124,Fundamentus!A:U,16,FALSE)&lt;0.1,"Oper. Ineficiente",IF(VLOOKUP(BH124,Fundamentus!A:U,16,FALSE)&gt;0.1,"Oper.Eficiente","n/a"))</f>
        <v>Oper. Ineficiente</v>
      </c>
      <c r="EV124" s="42">
        <f>VLOOKUP(BH124,Fundamentus!A:U,14,FALSE)</f>
        <v>-0.33029999999999998</v>
      </c>
      <c r="EW124" s="20" t="str">
        <f>IF(VLOOKUP(BH124,Fundamentus!A:U,21,FALSE)&lt;0,"Negativo",IF(VLOOKUP(BH124,Fundamentus!A:U,21,FALSE)&lt;0.05,"Fraco",IF(VLOOKUP(BH124,Fundamentus!A:U,21,FALSE)&lt;0.1,"Bom",IF(VLOOKUP(BH124,Fundamentus!A:U,21,FALSE)&gt;0.1,"Muito bom","n/a"))))</f>
        <v>Negativo</v>
      </c>
      <c r="EY124" s="37" t="str">
        <f>IF(VLOOKUP(BH124,Fundamentus!A:U,15,FALSE)&gt;1,"Bom",IF(VLOOKUP(BH124,Fundamentus!A:U,15,FALSE)&lt;1,"Ruim","n/a"))</f>
        <v>Bom</v>
      </c>
      <c r="EZ124" s="20" t="str">
        <f>IF(VLOOKUP(BH124,Fundamentus!A:U,20,FALSE)&lt;0.5,"Baixa",IF(VLOOKUP(BH124,Fundamentus!A:U,20,FALSE)&lt;1,"Moderada",IF(VLOOKUP(BH124,Fundamentus!A:U,20,FALSE)&lt;2,"Alerta",IF(VLOOKUP(BH124,Fundamentus!A:U,20,FALSE)&gt;2,"Alta","n/a"))))</f>
        <v>Baixa</v>
      </c>
      <c r="FA124" s="10"/>
    </row>
    <row r="125" spans="1:157" s="2" customFormat="1" ht="11.25" hidden="1" x14ac:dyDescent="0.2">
      <c r="A125" s="4">
        <v>7.18</v>
      </c>
      <c r="B125" s="4">
        <v>7.34</v>
      </c>
      <c r="C125" s="4">
        <v>7.13</v>
      </c>
      <c r="D125" s="4">
        <v>6.6</v>
      </c>
      <c r="E125" s="4">
        <v>6.51</v>
      </c>
      <c r="F125" s="4">
        <v>6.38</v>
      </c>
      <c r="G125" s="4">
        <v>6.33</v>
      </c>
      <c r="H125" s="4">
        <v>6.29</v>
      </c>
      <c r="I125" s="4">
        <v>6.55</v>
      </c>
      <c r="J125" s="4">
        <v>6.73</v>
      </c>
      <c r="K125" s="4">
        <v>6.38</v>
      </c>
      <c r="L125" s="4">
        <v>6.32</v>
      </c>
      <c r="M125" s="4">
        <v>6.21</v>
      </c>
      <c r="N125" s="4">
        <v>6.19</v>
      </c>
      <c r="O125" s="4">
        <v>6.48</v>
      </c>
      <c r="P125" s="4">
        <v>6.39</v>
      </c>
      <c r="Q125" s="4">
        <v>6.56</v>
      </c>
      <c r="R125" s="4">
        <v>6.35</v>
      </c>
      <c r="S125" s="4">
        <v>6.55</v>
      </c>
      <c r="T125" s="4">
        <v>6.57</v>
      </c>
      <c r="U125" s="4">
        <v>6.24</v>
      </c>
      <c r="V125" s="4">
        <v>6.34</v>
      </c>
      <c r="W125" s="4">
        <v>7.08</v>
      </c>
      <c r="X125" s="4">
        <v>6.3</v>
      </c>
      <c r="Y125" s="4">
        <v>6.27</v>
      </c>
      <c r="Z125" s="4">
        <v>6.1</v>
      </c>
      <c r="AA125" s="4">
        <v>5.9</v>
      </c>
      <c r="AB125" s="4">
        <v>5.81</v>
      </c>
      <c r="AC125" s="4">
        <v>5.73</v>
      </c>
      <c r="AD125" s="4">
        <v>5.98</v>
      </c>
      <c r="AE125" s="4">
        <v>5.71</v>
      </c>
      <c r="AF125" s="4">
        <v>5.71</v>
      </c>
      <c r="AG125" s="4">
        <v>5.63</v>
      </c>
      <c r="AH125" s="4">
        <v>5.44</v>
      </c>
      <c r="AI125" s="4">
        <v>5.35</v>
      </c>
      <c r="AJ125" s="4">
        <v>5.46</v>
      </c>
      <c r="AK125" s="4">
        <v>5.57</v>
      </c>
      <c r="AL125" s="4">
        <v>5.6</v>
      </c>
      <c r="AM125" s="4">
        <v>5.66</v>
      </c>
      <c r="AN125" s="4">
        <v>6.14</v>
      </c>
      <c r="AO125" s="4">
        <v>5.94</v>
      </c>
      <c r="AP125" s="4">
        <v>6.06</v>
      </c>
      <c r="AQ125" s="4">
        <v>6.09</v>
      </c>
      <c r="AR125" s="4">
        <v>5.68</v>
      </c>
      <c r="AS125" s="4">
        <v>6.08</v>
      </c>
      <c r="AT125" s="4">
        <v>6.95</v>
      </c>
      <c r="AU125" s="4">
        <v>6.72</v>
      </c>
      <c r="AV125" s="4">
        <v>6.18</v>
      </c>
      <c r="AW125" s="4">
        <v>5.69</v>
      </c>
      <c r="AX125" s="4">
        <v>5.6</v>
      </c>
      <c r="AY125" s="12">
        <v>5.83</v>
      </c>
      <c r="AZ125" s="12">
        <v>5.81</v>
      </c>
      <c r="BA125" s="12">
        <v>5.75</v>
      </c>
      <c r="BB125" s="18">
        <v>5.97</v>
      </c>
      <c r="BC125" s="63">
        <v>6.36</v>
      </c>
      <c r="BD125" s="63">
        <v>6.6</v>
      </c>
      <c r="BE125" s="63">
        <v>7.19</v>
      </c>
      <c r="BF125" s="63">
        <v>7.49</v>
      </c>
      <c r="BG125" s="91" cm="1">
        <f t="array" aca="1" ref="BG125" ca="1">_FV(EE125,"Preço")</f>
        <v>7.11</v>
      </c>
      <c r="BH125" s="93" t="s">
        <v>122</v>
      </c>
      <c r="BI125" s="32" cm="1">
        <f t="array" aca="1" ref="BI125" ca="1">_FV(EE125,"Beta")</f>
        <v>1.5620000000000001</v>
      </c>
      <c r="BJ125" s="96" cm="1">
        <f t="array" aca="1" ref="BJ125" ca="1">_FV(EE125,"Variação (%)",TRUE)</f>
        <v>-1.9310000000000001E-2</v>
      </c>
      <c r="BK125" s="49"/>
      <c r="BL125" s="49"/>
      <c r="BN125" s="32"/>
      <c r="BO125" s="20" cm="1">
        <f t="array" aca="1" ref="BO125" ca="1">_FV(EE125,"Baixo")</f>
        <v>7.01</v>
      </c>
      <c r="BP125" s="20" cm="1">
        <f t="array" aca="1" ref="BP125" ca="1">_FV(EE125,"Alto")</f>
        <v>7.24</v>
      </c>
      <c r="BQ125" s="32"/>
      <c r="BR125" s="74">
        <f ca="1">SQRT(22.5*(BG125/VLOOKUP(BH125,Fundamentus!A:U,3,FALSE))*(BG125/VLOOKUP(BH125,Fundamentus!A:U,4,FALSE)))</f>
        <v>5.3337268982961419</v>
      </c>
      <c r="BT125" s="73">
        <f t="shared" ca="1" si="99"/>
        <v>-5.0734312416555391E-2</v>
      </c>
      <c r="BU125" s="36">
        <f t="shared" si="100"/>
        <v>1.392757660167225E-3</v>
      </c>
      <c r="BV125" s="8"/>
      <c r="BW125" s="72">
        <f t="shared" si="101"/>
        <v>5.35</v>
      </c>
      <c r="BX125" s="72">
        <f t="shared" si="102"/>
        <v>6.2250000000000005</v>
      </c>
      <c r="BY125" s="72">
        <f t="shared" si="103"/>
        <v>7.49</v>
      </c>
      <c r="BZ125" s="17"/>
      <c r="CA125" s="17"/>
      <c r="CB125" s="43">
        <f t="shared" si="104"/>
        <v>6.9716369879107543</v>
      </c>
      <c r="CC125" s="18">
        <f t="shared" si="105"/>
        <v>7.8735238987815137</v>
      </c>
      <c r="CD125" s="43">
        <f t="shared" si="106"/>
        <v>8.7754108096522732</v>
      </c>
      <c r="CE125" s="98">
        <f t="shared" ca="1" si="107"/>
        <v>-0.8465849648980287</v>
      </c>
      <c r="CF125" s="17"/>
      <c r="CG125" s="20">
        <f t="shared" si="108"/>
        <v>3.923333333333332</v>
      </c>
      <c r="CH125" s="20">
        <f t="shared" si="109"/>
        <v>4.6366666666666658</v>
      </c>
      <c r="CI125" s="20">
        <f t="shared" si="110"/>
        <v>6.0633333333333326</v>
      </c>
      <c r="CJ125" s="49">
        <f t="shared" si="111"/>
        <v>6.7766666666666664</v>
      </c>
      <c r="CK125" s="20">
        <f t="shared" si="112"/>
        <v>8.2033333333333331</v>
      </c>
      <c r="CL125" s="20">
        <f t="shared" si="113"/>
        <v>8.9166666666666679</v>
      </c>
      <c r="CM125" s="20">
        <f t="shared" si="114"/>
        <v>10.343333333333334</v>
      </c>
      <c r="CN125" s="2" cm="1">
        <f t="array" aca="1" ref="CN125" ca="1">MAX(_xlfn._xlws.FILTER(CG125:CM125,CG125:CM125&lt;BG125))</f>
        <v>6.7766666666666664</v>
      </c>
      <c r="CO125" s="2" cm="1">
        <f t="array" aca="1" ref="CO125" ca="1">MIN(_xlfn._xlws.FILTER($CG125:$CM125,$CG125:$CM125&gt;BG125))</f>
        <v>8.2033333333333331</v>
      </c>
      <c r="CP125" s="19">
        <f t="shared" ca="1" si="141"/>
        <v>0.21052631578947367</v>
      </c>
      <c r="CQ125" s="23">
        <f t="shared" ca="1" si="142"/>
        <v>-0.10526315789473684</v>
      </c>
      <c r="CR125" s="23">
        <f t="shared" ca="1" si="143"/>
        <v>-7.0175438596491224E-2</v>
      </c>
      <c r="CS125" s="23">
        <f t="shared" ca="1" si="144"/>
        <v>-4.2105263157894736E-2</v>
      </c>
      <c r="CT125" s="23">
        <f t="shared" ca="1" si="145"/>
        <v>-2.3391812865497075E-2</v>
      </c>
      <c r="CU125" s="23">
        <f t="shared" ca="1" si="146"/>
        <v>-1.2383900928792569E-2</v>
      </c>
      <c r="CV125" s="23">
        <f t="shared" ca="1" si="147"/>
        <v>-6.379585326953748E-3</v>
      </c>
      <c r="CW125" s="23">
        <f t="shared" ca="1" si="148"/>
        <v>-3.2388663967611335E-3</v>
      </c>
      <c r="CX125" s="24">
        <f t="shared" ca="1" si="149"/>
        <v>3.2388663967611335E-3</v>
      </c>
      <c r="CY125" s="24">
        <f t="shared" ca="1" si="150"/>
        <v>6.379585326953748E-3</v>
      </c>
      <c r="CZ125" s="24">
        <f t="shared" ca="1" si="151"/>
        <v>1.2383900928792569E-2</v>
      </c>
      <c r="DA125" s="24">
        <f t="shared" ca="1" si="152"/>
        <v>2.3391812865497075E-2</v>
      </c>
      <c r="DB125" s="24">
        <f t="shared" ca="1" si="153"/>
        <v>4.2105263157894736E-2</v>
      </c>
      <c r="DC125" s="24">
        <f t="shared" ca="1" si="154"/>
        <v>7.0175438596491224E-2</v>
      </c>
      <c r="DD125" s="24">
        <f t="shared" ca="1" si="155"/>
        <v>0.10526315789473684</v>
      </c>
      <c r="DF125" s="19" cm="1">
        <f t="array" aca="1" ref="DF125" ca="1">MAX(_xlfn._xlws.FILTER(CQ125:DD125,CQ125:DD125&lt;BJ125))</f>
        <v>-2.3391812865497075E-2</v>
      </c>
      <c r="DG125" s="19" cm="1">
        <f t="array" aca="1" ref="DG125" ca="1">MIN(_xlfn._xlws.FILTER(CQ125:DD125,CQ125:DD125&gt;BJ125))</f>
        <v>-1.2383900928792569E-2</v>
      </c>
      <c r="DH125" s="2" cm="1">
        <f t="array" aca="1" ref="DH125" ca="1">_FV(EE125,"Fechamento anterior",TRUE)</f>
        <v>7.25</v>
      </c>
      <c r="DI125" s="36">
        <f t="shared" ca="1" si="115"/>
        <v>0.37077586206897323</v>
      </c>
      <c r="DJ125" s="18">
        <f t="shared" ca="1" si="156"/>
        <v>7.0804093567251458</v>
      </c>
      <c r="DK125" s="18">
        <f t="shared" ca="1" si="157"/>
        <v>7.1602167182662537</v>
      </c>
      <c r="DL125" s="9"/>
      <c r="DM125" s="9"/>
      <c r="DN125" s="9"/>
      <c r="DO125" s="9"/>
      <c r="DP125" s="79">
        <v>1.6177577125658406E-2</v>
      </c>
      <c r="DQ125" s="79">
        <v>5.4830551884934731E-3</v>
      </c>
      <c r="DR125" s="79">
        <v>1.7626817626817629E-2</v>
      </c>
      <c r="DS125" s="79">
        <f t="shared" ca="1" si="116"/>
        <v>1.1007911936704506E-2</v>
      </c>
      <c r="DT125" s="47"/>
      <c r="DU125" s="43">
        <f t="shared" si="117"/>
        <v>0.4509434554353795</v>
      </c>
      <c r="DV125" s="83">
        <f t="shared" ca="1" si="118"/>
        <v>1.9881</v>
      </c>
      <c r="DW125" s="83">
        <f t="shared" ca="1" si="119"/>
        <v>3.4930000000000003</v>
      </c>
      <c r="DX125" s="83">
        <f t="shared" ca="1" si="120"/>
        <v>-1.5049000000000003</v>
      </c>
      <c r="DY125" s="67"/>
      <c r="DZ125" s="67"/>
      <c r="EA125" s="85"/>
      <c r="EB125" s="44">
        <v>786100</v>
      </c>
      <c r="EC125" s="44" cm="1">
        <f t="array" aca="1" ref="EC125" ca="1">_FV(EE125,"Volume")</f>
        <v>420600</v>
      </c>
      <c r="EE125" s="2" t="e" vm="124">
        <v>#VALUE!</v>
      </c>
      <c r="EG125" s="10" cm="1">
        <f t="array" aca="1" ref="EG125" ca="1">_FV(EE125,"Ações em circulação",TRUE)</f>
        <v>200000000</v>
      </c>
      <c r="EH125" s="21">
        <f>VLOOKUP(BH125,Fundamentus!A:U,5,FALSE)</f>
        <v>0.83099999999999996</v>
      </c>
      <c r="EI125" s="2">
        <f t="shared" ca="1" si="121"/>
        <v>1711191335.7400723</v>
      </c>
      <c r="EJ125" s="20">
        <v>101849578.82069796</v>
      </c>
      <c r="EK125" s="20">
        <f t="shared" ca="1" si="122"/>
        <v>96682310.469314083</v>
      </c>
      <c r="EM125" s="40" t="str">
        <f>IF(VLOOKUP(BH125,Fundamentus!A:U,3,FALSE)&lt;15,"Bom",IF(VLOOKUP(BH125,Fundamentus!A:U,3,FALSE)&gt;15,"Ruim","n/a"))</f>
        <v>Ruim</v>
      </c>
      <c r="EN125" s="36" t="str">
        <f>IF(VLOOKUP(BH125,Fundamentus!A:U,4,FALSE)&lt;1,"Baixo",IF(VLOOKUP(BH125,Fundamentus!A:U,4,FALSE)&lt;1.5,"Moderado",IF(VLOOKUP(BH125,Fundamentus!A:U,4,FALSE)&gt;1.5,"Alto","n/a")))</f>
        <v>Baixo</v>
      </c>
      <c r="EO125" s="20" t="str">
        <f>IF(VLOOKUP(BH125,Fundamentus!A:U,8,FALSE)&lt;0,"Risco elevado",IF(VLOOKUP(BH125,Fundamentus!A:U,8,FALSE)&lt;1,"Saudável",IF(VLOOKUP(BH125,Fundamentus!A:U,8,FALSE)&lt;3,"Estável",IF(VLOOKUP(BH125,Fundamentus!A:U,8,FALSE)&gt;3,"Alerta","n/a"))))</f>
        <v>Saudável</v>
      </c>
      <c r="EP125" s="36" t="str">
        <f t="shared" si="123"/>
        <v>Ruim</v>
      </c>
      <c r="EQ125" s="20" t="str">
        <f>IF(VLOOKUP(BH125,Fundamentus!A:U,12,FALSE)&lt;2,"Subvalorizada",IF(VLOOKUP(BH125,Fundamentus!A:U,12,FALSE)&lt;6,"Muita barata",IF(VLOOKUP(BH125,Fundamentus!A:U,12,FALSE)&lt;6,"Barata",IF(VLOOKUP(BH125,Fundamentus!A:U,12,FALSE)&lt;8,"Atrativa",IF(VLOOKUP(BH125,Fundamentus!A:U,12,FALSE)&gt;8,"Supervalorizada","n/a")))))</f>
        <v>Atrativa</v>
      </c>
      <c r="ES125" s="20" t="str">
        <f>IF(VLOOKUP(BH125,Fundamentus!A:U,17,FALSE)&lt;0.1,"Fraco retorno",IF(VLOOKUP(BH125,Fundamentus!A:U,17,FALSE)&gt;0.1,"Bom retorno","n/a"))</f>
        <v>Fraco retorno</v>
      </c>
      <c r="ET125" s="20" t="str">
        <f>IF(VLOOKUP(BH125,Fundamentus!A:U,16,FALSE)&lt;0.1,"Ineficiente",IF(VLOOKUP(BH125,Fundamentus!A:U,16,FALSE)&gt;0.1,"Eficiente","n/a"))</f>
        <v>Ineficiente</v>
      </c>
      <c r="EU125" s="41" t="str">
        <f>IF(VLOOKUP(BH125,Fundamentus!A:U,16,FALSE)&lt;0.1,"Oper. Ineficiente",IF(VLOOKUP(BH125,Fundamentus!A:U,16,FALSE)&gt;0.1,"Oper.Eficiente","n/a"))</f>
        <v>Oper. Ineficiente</v>
      </c>
      <c r="EV125" s="42">
        <f>VLOOKUP(BH125,Fundamentus!A:U,14,FALSE)</f>
        <v>5.6500000000000002E-2</v>
      </c>
      <c r="EW125" s="20" t="str">
        <f>IF(VLOOKUP(BH125,Fundamentus!A:U,21,FALSE)&lt;0,"Negativo",IF(VLOOKUP(BH125,Fundamentus!A:U,21,FALSE)&lt;0.05,"Fraco",IF(VLOOKUP(BH125,Fundamentus!A:U,21,FALSE)&lt;0.1,"Bom",IF(VLOOKUP(BH125,Fundamentus!A:U,21,FALSE)&gt;0.1,"Muito bom","n/a"))))</f>
        <v>Fraco</v>
      </c>
      <c r="EY125" s="37" t="str">
        <f>IF(VLOOKUP(BH125,Fundamentus!A:U,15,FALSE)&gt;1,"Bom",IF(VLOOKUP(BH125,Fundamentus!A:U,15,FALSE)&lt;1,"Ruim","n/a"))</f>
        <v>Bom</v>
      </c>
      <c r="EZ125" s="20" t="str">
        <f>IF(VLOOKUP(BH125,Fundamentus!A:U,20,FALSE)&lt;0.5,"Baixa",IF(VLOOKUP(BH125,Fundamentus!A:U,20,FALSE)&lt;1,"Moderada",IF(VLOOKUP(BH125,Fundamentus!A:U,20,FALSE)&lt;2,"Alerta",IF(VLOOKUP(BH125,Fundamentus!A:U,20,FALSE)&gt;2,"Alta","n/a"))))</f>
        <v>Moderada</v>
      </c>
      <c r="FA125" s="10"/>
    </row>
    <row r="126" spans="1:157" s="2" customFormat="1" ht="11.25" hidden="1" x14ac:dyDescent="0.2">
      <c r="A126" s="4">
        <v>27.99</v>
      </c>
      <c r="B126" s="4">
        <v>27.89</v>
      </c>
      <c r="C126" s="4">
        <v>28.69</v>
      </c>
      <c r="D126" s="4">
        <v>27.38</v>
      </c>
      <c r="E126" s="4">
        <v>27</v>
      </c>
      <c r="F126" s="4">
        <v>27.31</v>
      </c>
      <c r="G126" s="4">
        <v>27.14</v>
      </c>
      <c r="H126" s="4">
        <v>28.1</v>
      </c>
      <c r="I126" s="4">
        <v>28.01</v>
      </c>
      <c r="J126" s="4">
        <v>28.28</v>
      </c>
      <c r="K126" s="4">
        <v>28.68</v>
      </c>
      <c r="L126" s="4">
        <v>29.36</v>
      </c>
      <c r="M126" s="4">
        <v>29.33</v>
      </c>
      <c r="N126" s="4">
        <v>28.39</v>
      </c>
      <c r="O126" s="4">
        <v>29.64</v>
      </c>
      <c r="P126" s="4">
        <v>31.65</v>
      </c>
      <c r="Q126" s="4">
        <v>31.61</v>
      </c>
      <c r="R126" s="4">
        <v>31.81</v>
      </c>
      <c r="S126" s="4">
        <v>32.369999999999997</v>
      </c>
      <c r="T126" s="4">
        <v>32.340000000000003</v>
      </c>
      <c r="U126" s="4">
        <v>31.26</v>
      </c>
      <c r="V126" s="4">
        <v>31.91</v>
      </c>
      <c r="W126" s="4">
        <v>30.46</v>
      </c>
      <c r="X126" s="4">
        <v>30.17</v>
      </c>
      <c r="Y126" s="4">
        <v>30.13</v>
      </c>
      <c r="Z126" s="4">
        <v>30.51</v>
      </c>
      <c r="AA126" s="4">
        <v>30.03</v>
      </c>
      <c r="AB126" s="4">
        <v>30.43</v>
      </c>
      <c r="AC126" s="4">
        <v>29.88</v>
      </c>
      <c r="AD126" s="4">
        <v>29.5</v>
      </c>
      <c r="AE126" s="4">
        <v>28.52</v>
      </c>
      <c r="AF126" s="4">
        <v>28.91</v>
      </c>
      <c r="AG126" s="4">
        <v>28.21</v>
      </c>
      <c r="AH126" s="4">
        <v>27.06</v>
      </c>
      <c r="AI126" s="4">
        <v>26.95</v>
      </c>
      <c r="AJ126" s="4">
        <v>26.39</v>
      </c>
      <c r="AK126" s="4">
        <v>27.12</v>
      </c>
      <c r="AL126" s="4">
        <v>28.32</v>
      </c>
      <c r="AM126" s="4">
        <v>28.48</v>
      </c>
      <c r="AN126" s="4">
        <v>29.81</v>
      </c>
      <c r="AO126" s="4">
        <v>30</v>
      </c>
      <c r="AP126" s="4">
        <v>31.02</v>
      </c>
      <c r="AQ126" s="4">
        <v>29.1</v>
      </c>
      <c r="AR126" s="4">
        <v>28.56</v>
      </c>
      <c r="AS126" s="4">
        <v>29.2</v>
      </c>
      <c r="AT126" s="4">
        <v>30.46</v>
      </c>
      <c r="AU126" s="4">
        <v>28.395</v>
      </c>
      <c r="AV126" s="4">
        <v>28.09</v>
      </c>
      <c r="AW126" s="4">
        <v>27.61</v>
      </c>
      <c r="AX126" s="4">
        <v>28.15</v>
      </c>
      <c r="AY126" s="12">
        <v>28.67</v>
      </c>
      <c r="AZ126" s="12">
        <v>30.26</v>
      </c>
      <c r="BA126" s="12">
        <v>31.08</v>
      </c>
      <c r="BB126" s="18">
        <v>31.3</v>
      </c>
      <c r="BC126" s="63">
        <v>33.39</v>
      </c>
      <c r="BD126" s="63">
        <v>33.299999999999997</v>
      </c>
      <c r="BE126" s="63">
        <v>33.369999999999997</v>
      </c>
      <c r="BF126" s="63">
        <v>32.51</v>
      </c>
      <c r="BG126" s="91" cm="1">
        <f t="array" aca="1" ref="BG126" ca="1">_FV(EE126,"Preço")</f>
        <v>32.229999999999997</v>
      </c>
      <c r="BH126" s="93" t="s">
        <v>62</v>
      </c>
      <c r="BI126" s="32" cm="1">
        <f t="array" aca="1" ref="BI126" ca="1">_FV(EE126,"Beta")</f>
        <v>1.2437</v>
      </c>
      <c r="BJ126" s="96" cm="1">
        <f t="array" aca="1" ref="BJ126" ca="1">_FV(EE126,"Variação (%)",TRUE)</f>
        <v>-2.4759999999999999E-3</v>
      </c>
      <c r="BK126" s="49"/>
      <c r="BL126" s="49"/>
      <c r="BN126" s="32"/>
      <c r="BO126" s="20" cm="1">
        <f t="array" aca="1" ref="BO126" ca="1">_FV(EE126,"Baixo")</f>
        <v>31.82</v>
      </c>
      <c r="BP126" s="20" cm="1">
        <f t="array" aca="1" ref="BP126" ca="1">_FV(EE126,"Alto")</f>
        <v>32.229999999999997</v>
      </c>
      <c r="BQ126" s="32"/>
      <c r="BR126" s="74">
        <f ca="1">SQRT(22.5*(BG126/VLOOKUP(BH126,Fundamentus!A:U,3,FALSE))*(BG126/VLOOKUP(BH126,Fundamentus!A:U,4,FALSE)))</f>
        <v>38.303960129233644</v>
      </c>
      <c r="BT126" s="73">
        <f t="shared" ca="1" si="99"/>
        <v>-8.6127345432175078E-3</v>
      </c>
      <c r="BU126" s="36">
        <f t="shared" si="100"/>
        <v>0.19221150410861018</v>
      </c>
      <c r="BV126" s="8"/>
      <c r="BW126" s="72">
        <f t="shared" si="101"/>
        <v>26.39</v>
      </c>
      <c r="BX126" s="72">
        <f t="shared" si="102"/>
        <v>29.508362068965504</v>
      </c>
      <c r="BY126" s="72">
        <f t="shared" si="103"/>
        <v>33.39</v>
      </c>
      <c r="BZ126" s="17"/>
      <c r="CA126" s="17"/>
      <c r="CB126" s="43">
        <f t="shared" si="104"/>
        <v>31.794088666694332</v>
      </c>
      <c r="CC126" s="18">
        <f t="shared" si="105"/>
        <v>32.52748828491076</v>
      </c>
      <c r="CD126" s="43">
        <f t="shared" si="106"/>
        <v>33.260887903127184</v>
      </c>
      <c r="CE126" s="98">
        <f t="shared" ca="1" si="107"/>
        <v>-0.40562917885644922</v>
      </c>
      <c r="CF126" s="17"/>
      <c r="CG126" s="20">
        <f t="shared" si="108"/>
        <v>21.136666666666663</v>
      </c>
      <c r="CH126" s="20">
        <f t="shared" si="109"/>
        <v>23.763333333333332</v>
      </c>
      <c r="CI126" s="20">
        <f t="shared" si="110"/>
        <v>28.136666666666663</v>
      </c>
      <c r="CJ126" s="49">
        <f t="shared" si="111"/>
        <v>30.763333333333332</v>
      </c>
      <c r="CK126" s="20">
        <f t="shared" si="112"/>
        <v>35.136666666666663</v>
      </c>
      <c r="CL126" s="20">
        <f t="shared" si="113"/>
        <v>37.763333333333335</v>
      </c>
      <c r="CM126" s="20">
        <f t="shared" si="114"/>
        <v>42.136666666666663</v>
      </c>
      <c r="CN126" s="2" cm="1">
        <f t="array" aca="1" ref="CN126" ca="1">MAX(_xlfn._xlws.FILTER(CG126:CM126,CG126:CM126&lt;BG126))</f>
        <v>30.763333333333332</v>
      </c>
      <c r="CO126" s="2" cm="1">
        <f t="array" aca="1" ref="CO126" ca="1">MIN(_xlfn._xlws.FILTER($CG126:$CM126,$CG126:$CM126&gt;BG126))</f>
        <v>35.136666666666663</v>
      </c>
      <c r="CP126" s="19">
        <f t="shared" ca="1" si="141"/>
        <v>0.14216058077798244</v>
      </c>
      <c r="CQ126" s="23">
        <f t="shared" ca="1" si="142"/>
        <v>-7.1080290388991219E-2</v>
      </c>
      <c r="CR126" s="23">
        <f t="shared" ca="1" si="143"/>
        <v>-4.7386860259327479E-2</v>
      </c>
      <c r="CS126" s="23">
        <f t="shared" ca="1" si="144"/>
        <v>-2.8432116155596487E-2</v>
      </c>
      <c r="CT126" s="23">
        <f t="shared" ca="1" si="145"/>
        <v>-1.5795620086442492E-2</v>
      </c>
      <c r="CU126" s="23">
        <f t="shared" ca="1" si="146"/>
        <v>-8.3623871045872024E-3</v>
      </c>
      <c r="CV126" s="23">
        <f t="shared" ca="1" si="147"/>
        <v>-4.3078963872115886E-3</v>
      </c>
      <c r="CW126" s="23">
        <f t="shared" ca="1" si="148"/>
        <v>-2.1870858581228068E-3</v>
      </c>
      <c r="CX126" s="24">
        <f t="shared" ca="1" si="149"/>
        <v>2.1870858581228068E-3</v>
      </c>
      <c r="CY126" s="24">
        <f t="shared" ca="1" si="150"/>
        <v>4.3078963872115886E-3</v>
      </c>
      <c r="CZ126" s="24">
        <f t="shared" ca="1" si="151"/>
        <v>8.3623871045872024E-3</v>
      </c>
      <c r="DA126" s="24">
        <f t="shared" ca="1" si="152"/>
        <v>1.5795620086442492E-2</v>
      </c>
      <c r="DB126" s="24">
        <f t="shared" ca="1" si="153"/>
        <v>2.8432116155596487E-2</v>
      </c>
      <c r="DC126" s="24">
        <f t="shared" ca="1" si="154"/>
        <v>4.7386860259327479E-2</v>
      </c>
      <c r="DD126" s="24">
        <f t="shared" ca="1" si="155"/>
        <v>7.1080290388991219E-2</v>
      </c>
      <c r="DF126" s="19" cm="1">
        <f t="array" aca="1" ref="DF126" ca="1">MAX(_xlfn._xlws.FILTER(CQ126:DD126,CQ126:DD126&lt;BJ126))</f>
        <v>-4.3078963872115886E-3</v>
      </c>
      <c r="DG126" s="19" cm="1">
        <f t="array" aca="1" ref="DG126" ca="1">MIN(_xlfn._xlws.FILTER(CQ126:DD126,CQ126:DD126&gt;BJ126))</f>
        <v>-2.1870858581228068E-3</v>
      </c>
      <c r="DH126" s="2" cm="1">
        <f t="array" aca="1" ref="DH126" ca="1">_FV(EE126,"Fechamento anterior",TRUE)</f>
        <v>32.31</v>
      </c>
      <c r="DI126" s="36">
        <f t="shared" ca="1" si="115"/>
        <v>0.8637654066738325</v>
      </c>
      <c r="DJ126" s="18">
        <f t="shared" ca="1" si="156"/>
        <v>32.170811867729199</v>
      </c>
      <c r="DK126" s="18">
        <f t="shared" ca="1" si="157"/>
        <v>32.239335255924054</v>
      </c>
      <c r="DL126" s="9"/>
      <c r="DM126" s="9"/>
      <c r="DN126" s="9"/>
      <c r="DO126" s="9"/>
      <c r="DP126" s="79">
        <v>6.7278822566348038E-3</v>
      </c>
      <c r="DQ126" s="79">
        <v>3.9590999433274038E-3</v>
      </c>
      <c r="DR126" s="79">
        <v>3.6697539581644384E-3</v>
      </c>
      <c r="DS126" s="79">
        <f t="shared" ca="1" si="116"/>
        <v>2.1208105290887818E-3</v>
      </c>
      <c r="DT126" s="47"/>
      <c r="DU126" s="43">
        <f t="shared" si="117"/>
        <v>0.36669980910821348</v>
      </c>
      <c r="DV126" s="83">
        <f t="shared" ca="1" si="118"/>
        <v>1.6698</v>
      </c>
      <c r="DW126" s="83">
        <f t="shared" ca="1" si="119"/>
        <v>1.4913000000000001</v>
      </c>
      <c r="DX126" s="83">
        <f t="shared" ca="1" si="120"/>
        <v>0.17849999999999988</v>
      </c>
      <c r="DY126" s="67"/>
      <c r="DZ126" s="67"/>
      <c r="EA126" s="85"/>
      <c r="EB126" s="44">
        <v>400700</v>
      </c>
      <c r="EC126" s="44" cm="1">
        <f t="array" aca="1" ref="EC126" ca="1">_FV(EE126,"Volume")</f>
        <v>684400</v>
      </c>
      <c r="EE126" s="2" t="e" vm="125">
        <v>#VALUE!</v>
      </c>
      <c r="EG126" s="10" cm="1">
        <f t="array" aca="1" ref="EG126" ca="1">_FV(EE126,"Ações em circulação",TRUE)</f>
        <v>10784550000</v>
      </c>
      <c r="EH126" s="21">
        <f>VLOOKUP(BH126,Fundamentus!A:U,5,FALSE)</f>
        <v>0</v>
      </c>
      <c r="EI126" s="2" t="e">
        <f t="shared" ca="1" si="121"/>
        <v>#DIV/0!</v>
      </c>
      <c r="EJ126" s="20" t="e">
        <v>#DIV/0!</v>
      </c>
      <c r="EK126" s="20" t="e">
        <f t="shared" ca="1" si="122"/>
        <v>#DIV/0!</v>
      </c>
      <c r="EM126" s="40" t="str">
        <f>IF(VLOOKUP(BH126,Fundamentus!A:U,3,FALSE)&lt;15,"Bom",IF(VLOOKUP(BH126,Fundamentus!A:U,3,FALSE)&gt;15,"Ruim","n/a"))</f>
        <v>Bom</v>
      </c>
      <c r="EN126" s="36" t="str">
        <f>IF(VLOOKUP(BH126,Fundamentus!A:U,4,FALSE)&lt;1,"Baixo",IF(VLOOKUP(BH126,Fundamentus!A:U,4,FALSE)&lt;1.5,"Moderado",IF(VLOOKUP(BH126,Fundamentus!A:U,4,FALSE)&gt;1.5,"Alto","n/a")))</f>
        <v>Alto</v>
      </c>
      <c r="EO126" s="20" t="str">
        <f>IF(VLOOKUP(BH126,Fundamentus!A:U,8,FALSE)&lt;0,"Risco elevado",IF(VLOOKUP(BH126,Fundamentus!A:U,8,FALSE)&lt;1,"Saudável",IF(VLOOKUP(BH126,Fundamentus!A:U,8,FALSE)&lt;3,"Estável",IF(VLOOKUP(BH126,Fundamentus!A:U,8,FALSE)&gt;3,"Alerta","n/a"))))</f>
        <v>Saudável</v>
      </c>
      <c r="EP126" s="36" t="str">
        <f t="shared" si="123"/>
        <v>Ruim</v>
      </c>
      <c r="EQ126" s="20" t="str">
        <f>IF(VLOOKUP(BH126,Fundamentus!A:U,12,FALSE)&lt;2,"Subvalorizada",IF(VLOOKUP(BH126,Fundamentus!A:U,12,FALSE)&lt;6,"Muita barata",IF(VLOOKUP(BH126,Fundamentus!A:U,12,FALSE)&lt;6,"Barata",IF(VLOOKUP(BH126,Fundamentus!A:U,12,FALSE)&lt;8,"Atrativa",IF(VLOOKUP(BH126,Fundamentus!A:U,12,FALSE)&gt;8,"Supervalorizada","n/a")))))</f>
        <v>Subvalorizada</v>
      </c>
      <c r="ES126" s="20" t="str">
        <f>IF(VLOOKUP(BH126,Fundamentus!A:U,17,FALSE)&lt;0.1,"Fraco retorno",IF(VLOOKUP(BH126,Fundamentus!A:U,17,FALSE)&gt;0.1,"Bom retorno","n/a"))</f>
        <v>Bom retorno</v>
      </c>
      <c r="ET126" s="20" t="str">
        <f>IF(VLOOKUP(BH126,Fundamentus!A:U,16,FALSE)&lt;0.1,"Ineficiente",IF(VLOOKUP(BH126,Fundamentus!A:U,16,FALSE)&gt;0.1,"Eficiente","n/a"))</f>
        <v>Ineficiente</v>
      </c>
      <c r="EU126" s="41" t="str">
        <f>IF(VLOOKUP(BH126,Fundamentus!A:U,16,FALSE)&lt;0.1,"Oper. Ineficiente",IF(VLOOKUP(BH126,Fundamentus!A:U,16,FALSE)&gt;0.1,"Oper.Eficiente","n/a"))</f>
        <v>Oper. Ineficiente</v>
      </c>
      <c r="EV126" s="42">
        <f>VLOOKUP(BH126,Fundamentus!A:U,14,FALSE)</f>
        <v>0</v>
      </c>
      <c r="EW126" s="20" t="str">
        <f>IF(VLOOKUP(BH126,Fundamentus!A:U,21,FALSE)&lt;0,"Negativo",IF(VLOOKUP(BH126,Fundamentus!A:U,21,FALSE)&lt;0.05,"Fraco",IF(VLOOKUP(BH126,Fundamentus!A:U,21,FALSE)&lt;0.1,"Bom",IF(VLOOKUP(BH126,Fundamentus!A:U,21,FALSE)&gt;0.1,"Muito bom","n/a"))))</f>
        <v>Muito bom</v>
      </c>
      <c r="EY126" s="37" t="str">
        <f>IF(VLOOKUP(BH126,Fundamentus!A:U,15,FALSE)&gt;1,"Bom",IF(VLOOKUP(BH126,Fundamentus!A:U,15,FALSE)&lt;1,"Ruim","n/a"))</f>
        <v>Ruim</v>
      </c>
      <c r="EZ126" s="20" t="str">
        <f>IF(VLOOKUP(BH126,Fundamentus!A:U,20,FALSE)&lt;0.5,"Baixa",IF(VLOOKUP(BH126,Fundamentus!A:U,20,FALSE)&lt;1,"Moderada",IF(VLOOKUP(BH126,Fundamentus!A:U,20,FALSE)&lt;2,"Alerta",IF(VLOOKUP(BH126,Fundamentus!A:U,20,FALSE)&gt;2,"Alta","n/a"))))</f>
        <v>Baixa</v>
      </c>
      <c r="FA126" s="10"/>
    </row>
    <row r="127" spans="1:157" s="2" customFormat="1" ht="11.25" hidden="1" x14ac:dyDescent="0.2">
      <c r="A127" s="4">
        <v>2.44</v>
      </c>
      <c r="B127" s="4">
        <v>2.4700000000000002</v>
      </c>
      <c r="C127" s="4">
        <v>2.38</v>
      </c>
      <c r="D127" s="4">
        <v>2.33</v>
      </c>
      <c r="E127" s="4">
        <v>2.27</v>
      </c>
      <c r="F127" s="4">
        <v>2.17</v>
      </c>
      <c r="G127" s="4">
        <v>2.16</v>
      </c>
      <c r="H127" s="4">
        <v>2.13</v>
      </c>
      <c r="I127" s="4">
        <v>2.15</v>
      </c>
      <c r="J127" s="4">
        <v>2.21</v>
      </c>
      <c r="K127" s="4">
        <v>2.38</v>
      </c>
      <c r="L127" s="4">
        <v>2.27</v>
      </c>
      <c r="M127" s="4">
        <v>2.31</v>
      </c>
      <c r="N127" s="4">
        <v>2.2400000000000002</v>
      </c>
      <c r="O127" s="4">
        <v>2.2200000000000002</v>
      </c>
      <c r="P127" s="4">
        <v>2.29</v>
      </c>
      <c r="Q127" s="4">
        <v>2.2400000000000002</v>
      </c>
      <c r="R127" s="4">
        <v>2.3199999999999998</v>
      </c>
      <c r="S127" s="4">
        <v>2.2200000000000002</v>
      </c>
      <c r="T127" s="4">
        <v>2.25</v>
      </c>
      <c r="U127" s="4">
        <v>2.19</v>
      </c>
      <c r="V127" s="4">
        <v>2.17</v>
      </c>
      <c r="W127" s="4">
        <v>2.17</v>
      </c>
      <c r="X127" s="4">
        <v>2.13</v>
      </c>
      <c r="Y127" s="4">
        <v>2.14</v>
      </c>
      <c r="Z127" s="4">
        <v>2.1800000000000002</v>
      </c>
      <c r="AA127" s="4">
        <v>2.13</v>
      </c>
      <c r="AB127" s="4">
        <v>2.17</v>
      </c>
      <c r="AC127" s="4">
        <v>2.15</v>
      </c>
      <c r="AD127" s="4">
        <v>2.1</v>
      </c>
      <c r="AE127" s="4">
        <v>2.08</v>
      </c>
      <c r="AF127" s="4">
        <v>2</v>
      </c>
      <c r="AG127" s="4">
        <v>1.89</v>
      </c>
      <c r="AH127" s="4">
        <v>1.79</v>
      </c>
      <c r="AI127" s="4">
        <v>1.8</v>
      </c>
      <c r="AJ127" s="4">
        <v>1.81</v>
      </c>
      <c r="AK127" s="4">
        <v>1.79</v>
      </c>
      <c r="AL127" s="4">
        <v>1.86</v>
      </c>
      <c r="AM127" s="4">
        <v>1.77</v>
      </c>
      <c r="AN127" s="4">
        <v>1.56</v>
      </c>
      <c r="AO127" s="4">
        <v>1.47</v>
      </c>
      <c r="AP127" s="4">
        <v>1.44</v>
      </c>
      <c r="AQ127" s="4">
        <v>1.41</v>
      </c>
      <c r="AR127" s="4">
        <v>1.44</v>
      </c>
      <c r="AS127" s="4">
        <v>1.46</v>
      </c>
      <c r="AT127" s="4">
        <v>1.54</v>
      </c>
      <c r="AU127" s="4">
        <v>1.5049999999999999</v>
      </c>
      <c r="AV127" s="4">
        <v>1.47</v>
      </c>
      <c r="AW127" s="4">
        <v>1.47</v>
      </c>
      <c r="AX127" s="4">
        <v>1.53</v>
      </c>
      <c r="AY127" s="12">
        <v>1.62</v>
      </c>
      <c r="AZ127" s="12">
        <v>1.58</v>
      </c>
      <c r="BA127" s="12">
        <v>1.68</v>
      </c>
      <c r="BB127" s="18">
        <v>1.68</v>
      </c>
      <c r="BC127" s="63">
        <v>1.47</v>
      </c>
      <c r="BD127" s="63">
        <v>1.5</v>
      </c>
      <c r="BE127" s="63">
        <v>1.55</v>
      </c>
      <c r="BF127" s="63">
        <v>1.53</v>
      </c>
      <c r="BG127" s="91" cm="1">
        <f t="array" aca="1" ref="BG127" ca="1">_FV(EE127,"Preço")</f>
        <v>1.5</v>
      </c>
      <c r="BH127" s="93" t="s">
        <v>124</v>
      </c>
      <c r="BI127" s="32" cm="1">
        <f t="array" aca="1" ref="BI127" ca="1">_FV(EE127,"Beta")</f>
        <v>0.54310000000000003</v>
      </c>
      <c r="BJ127" s="96" cm="1">
        <f t="array" aca="1" ref="BJ127" ca="1">_FV(EE127,"Variação (%)",TRUE)</f>
        <v>6.711E-3</v>
      </c>
      <c r="BK127" s="49"/>
      <c r="BL127" s="49"/>
      <c r="BN127" s="32"/>
      <c r="BO127" s="20" cm="1">
        <f t="array" aca="1" ref="BO127" ca="1">_FV(EE127,"Baixo")</f>
        <v>1.46</v>
      </c>
      <c r="BP127" s="20" cm="1">
        <f t="array" aca="1" ref="BP127" ca="1">_FV(EE127,"Alto")</f>
        <v>1.51</v>
      </c>
      <c r="BQ127" s="32"/>
      <c r="BR127" s="74">
        <f ca="1">SQRT(22.5*(BG127/VLOOKUP(BH127,Fundamentus!A:U,3,FALSE))*(BG127/VLOOKUP(BH127,Fundamentus!A:U,4,FALSE)))</f>
        <v>2.0498299268458986</v>
      </c>
      <c r="BT127" s="73">
        <f t="shared" ca="1" si="99"/>
        <v>-1.9607843137254919E-2</v>
      </c>
      <c r="BU127" s="36">
        <f t="shared" si="100"/>
        <v>-0.3647540983606557</v>
      </c>
      <c r="BV127" s="8"/>
      <c r="BW127" s="72">
        <f t="shared" si="101"/>
        <v>1.41</v>
      </c>
      <c r="BX127" s="72">
        <f t="shared" si="102"/>
        <v>1.9426724137931037</v>
      </c>
      <c r="BY127" s="72">
        <f t="shared" si="103"/>
        <v>2.4700000000000002</v>
      </c>
      <c r="BZ127" s="17"/>
      <c r="CA127" s="17"/>
      <c r="CB127" s="43">
        <f t="shared" si="104"/>
        <v>1.5082723173302302</v>
      </c>
      <c r="CC127" s="18">
        <f t="shared" si="105"/>
        <v>1.5688940955951409</v>
      </c>
      <c r="CD127" s="43">
        <f t="shared" si="106"/>
        <v>1.6295158738600517</v>
      </c>
      <c r="CE127" s="98">
        <f t="shared" ca="1" si="107"/>
        <v>-1.1364578467837252</v>
      </c>
      <c r="CF127" s="17"/>
      <c r="CG127" s="20">
        <f t="shared" si="108"/>
        <v>7.6666666666666439E-2</v>
      </c>
      <c r="CH127" s="20">
        <f t="shared" si="109"/>
        <v>0.74333333333333318</v>
      </c>
      <c r="CI127" s="20">
        <f t="shared" si="110"/>
        <v>1.1366666666666667</v>
      </c>
      <c r="CJ127" s="49">
        <f t="shared" si="111"/>
        <v>1.8033333333333335</v>
      </c>
      <c r="CK127" s="20">
        <f t="shared" si="112"/>
        <v>2.1966666666666672</v>
      </c>
      <c r="CL127" s="20">
        <f t="shared" si="113"/>
        <v>2.8633333333333337</v>
      </c>
      <c r="CM127" s="20">
        <f t="shared" si="114"/>
        <v>3.2566666666666673</v>
      </c>
      <c r="CN127" s="2" cm="1">
        <f t="array" aca="1" ref="CN127" ca="1">MAX(_xlfn._xlws.FILTER(CG127:CM127,CG127:CM127&lt;BG127))</f>
        <v>1.1366666666666667</v>
      </c>
      <c r="CO127" s="2" cm="1">
        <f t="array" aca="1" ref="CO127" ca="1">MIN(_xlfn._xlws.FILTER($CG127:$CM127,$CG127:$CM127&gt;BG127))</f>
        <v>1.8033333333333335</v>
      </c>
      <c r="CP127" s="19">
        <f t="shared" ca="1" si="141"/>
        <v>0.58651026392961891</v>
      </c>
      <c r="CQ127" s="23">
        <f t="shared" ca="1" si="142"/>
        <v>-0.29325513196480946</v>
      </c>
      <c r="CR127" s="23">
        <f t="shared" ca="1" si="143"/>
        <v>-0.19550342130987297</v>
      </c>
      <c r="CS127" s="23">
        <f t="shared" ca="1" si="144"/>
        <v>-0.11730205278592379</v>
      </c>
      <c r="CT127" s="23">
        <f t="shared" ca="1" si="145"/>
        <v>-6.5167807103290995E-2</v>
      </c>
      <c r="CU127" s="23">
        <f t="shared" ca="1" si="146"/>
        <v>-3.4500603760565816E-2</v>
      </c>
      <c r="CV127" s="23">
        <f t="shared" ca="1" si="147"/>
        <v>-1.7773038300897544E-2</v>
      </c>
      <c r="CW127" s="23">
        <f t="shared" ca="1" si="148"/>
        <v>-9.0232348296864443E-3</v>
      </c>
      <c r="CX127" s="24">
        <f t="shared" ca="1" si="149"/>
        <v>9.0232348296864443E-3</v>
      </c>
      <c r="CY127" s="24">
        <f t="shared" ca="1" si="150"/>
        <v>1.7773038300897544E-2</v>
      </c>
      <c r="CZ127" s="24">
        <f t="shared" ca="1" si="151"/>
        <v>3.4500603760565816E-2</v>
      </c>
      <c r="DA127" s="24">
        <f t="shared" ca="1" si="152"/>
        <v>6.5167807103290995E-2</v>
      </c>
      <c r="DB127" s="24">
        <f t="shared" ca="1" si="153"/>
        <v>0.11730205278592379</v>
      </c>
      <c r="DC127" s="24">
        <f t="shared" ca="1" si="154"/>
        <v>0.19550342130987297</v>
      </c>
      <c r="DD127" s="24">
        <f t="shared" ca="1" si="155"/>
        <v>0.29325513196480946</v>
      </c>
      <c r="DF127" s="19" cm="1">
        <f t="array" aca="1" ref="DF127" ca="1">MAX(_xlfn._xlws.FILTER(CQ127:DD127,CQ127:DD127&lt;BJ127))</f>
        <v>-9.0232348296864443E-3</v>
      </c>
      <c r="DG127" s="19" cm="1">
        <f t="array" aca="1" ref="DG127" ca="1">MIN(_xlfn._xlws.FILTER(CQ127:DD127,CQ127:DD127&gt;BJ127))</f>
        <v>9.0232348296864443E-3</v>
      </c>
      <c r="DH127" s="2" cm="1">
        <f t="array" aca="1" ref="DH127" ca="1">_FV(EE127,"Fechamento anterior",TRUE)</f>
        <v>1.49</v>
      </c>
      <c r="DI127" s="36">
        <f t="shared" ca="1" si="115"/>
        <v>0.87189597315436274</v>
      </c>
      <c r="DJ127" s="18">
        <f t="shared" ca="1" si="156"/>
        <v>1.4765553801037672</v>
      </c>
      <c r="DK127" s="18">
        <f t="shared" ca="1" si="157"/>
        <v>1.5034446198962328</v>
      </c>
      <c r="DL127" s="9"/>
      <c r="DM127" s="9"/>
      <c r="DN127" s="9"/>
      <c r="DO127" s="9"/>
      <c r="DP127" s="79">
        <v>5.9164897381457929E-2</v>
      </c>
      <c r="DQ127" s="79">
        <v>1.8983389534157621E-2</v>
      </c>
      <c r="DR127" s="79">
        <v>1.8983389534157621E-2</v>
      </c>
      <c r="DS127" s="79">
        <f t="shared" ca="1" si="116"/>
        <v>1.8046469659372889E-2</v>
      </c>
      <c r="DT127" s="47"/>
      <c r="DU127" s="43">
        <f t="shared" si="117"/>
        <v>3.0310889132455381E-2</v>
      </c>
      <c r="DV127" s="83">
        <f t="shared" ca="1" si="118"/>
        <v>0.96920000000000006</v>
      </c>
      <c r="DW127" s="83">
        <f t="shared" ca="1" si="119"/>
        <v>-0.128</v>
      </c>
      <c r="DX127" s="83">
        <f t="shared" ca="1" si="120"/>
        <v>1.0972</v>
      </c>
      <c r="DY127" s="67"/>
      <c r="DZ127" s="67"/>
      <c r="EA127" s="85"/>
      <c r="EB127" s="44">
        <v>13200</v>
      </c>
      <c r="EC127" s="44" cm="1">
        <f t="array" aca="1" ref="EC127" ca="1">_FV(EE127,"Volume")</f>
        <v>41500</v>
      </c>
      <c r="EE127" s="2" t="e" vm="126">
        <v>#VALUE!</v>
      </c>
      <c r="EG127" s="10" cm="1">
        <f t="array" aca="1" ref="EG127" ca="1">_FV(EE127,"Ações em circulação",TRUE)</f>
        <v>66086360</v>
      </c>
      <c r="EH127" s="21">
        <f>VLOOKUP(BH127,Fundamentus!A:U,5,FALSE)</f>
        <v>0.44</v>
      </c>
      <c r="EI127" s="2">
        <f t="shared" ca="1" si="121"/>
        <v>225294409.09090909</v>
      </c>
      <c r="EJ127" s="20">
        <v>4366205.6481818175</v>
      </c>
      <c r="EK127" s="20">
        <f t="shared" ca="1" si="122"/>
        <v>4280593.7727272725</v>
      </c>
      <c r="EM127" s="40" t="str">
        <f>IF(VLOOKUP(BH127,Fundamentus!A:U,3,FALSE)&lt;15,"Bom",IF(VLOOKUP(BH127,Fundamentus!A:U,3,FALSE)&gt;15,"Ruim","n/a"))</f>
        <v>Ruim</v>
      </c>
      <c r="EN127" s="36" t="str">
        <f>IF(VLOOKUP(BH127,Fundamentus!A:U,4,FALSE)&lt;1,"Baixo",IF(VLOOKUP(BH127,Fundamentus!A:U,4,FALSE)&lt;1.5,"Moderado",IF(VLOOKUP(BH127,Fundamentus!A:U,4,FALSE)&gt;1.5,"Alto","n/a")))</f>
        <v>Baixo</v>
      </c>
      <c r="EO127" s="20" t="str">
        <f>IF(VLOOKUP(BH127,Fundamentus!A:U,8,FALSE)&lt;0,"Risco elevado",IF(VLOOKUP(BH127,Fundamentus!A:U,8,FALSE)&lt;1,"Saudável",IF(VLOOKUP(BH127,Fundamentus!A:U,8,FALSE)&lt;3,"Estável",IF(VLOOKUP(BH127,Fundamentus!A:U,8,FALSE)&gt;3,"Alerta","n/a"))))</f>
        <v>Alerta</v>
      </c>
      <c r="EP127" s="36" t="str">
        <f t="shared" si="123"/>
        <v>Ruim</v>
      </c>
      <c r="EQ127" s="20" t="str">
        <f>IF(VLOOKUP(BH127,Fundamentus!A:U,12,FALSE)&lt;2,"Subvalorizada",IF(VLOOKUP(BH127,Fundamentus!A:U,12,FALSE)&lt;6,"Muita barata",IF(VLOOKUP(BH127,Fundamentus!A:U,12,FALSE)&lt;6,"Barata",IF(VLOOKUP(BH127,Fundamentus!A:U,12,FALSE)&lt;8,"Atrativa",IF(VLOOKUP(BH127,Fundamentus!A:U,12,FALSE)&gt;8,"Supervalorizada","n/a")))))</f>
        <v>Supervalorizada</v>
      </c>
      <c r="ES127" s="20" t="str">
        <f>IF(VLOOKUP(BH127,Fundamentus!A:U,17,FALSE)&lt;0.1,"Fraco retorno",IF(VLOOKUP(BH127,Fundamentus!A:U,17,FALSE)&gt;0.1,"Bom retorno","n/a"))</f>
        <v>Fraco retorno</v>
      </c>
      <c r="ET127" s="20" t="str">
        <f>IF(VLOOKUP(BH127,Fundamentus!A:U,16,FALSE)&lt;0.1,"Ineficiente",IF(VLOOKUP(BH127,Fundamentus!A:U,16,FALSE)&gt;0.1,"Eficiente","n/a"))</f>
        <v>Ineficiente</v>
      </c>
      <c r="EU127" s="41" t="str">
        <f>IF(VLOOKUP(BH127,Fundamentus!A:U,16,FALSE)&lt;0.1,"Oper. Ineficiente",IF(VLOOKUP(BH127,Fundamentus!A:U,16,FALSE)&gt;0.1,"Oper.Eficiente","n/a"))</f>
        <v>Oper. Ineficiente</v>
      </c>
      <c r="EV127" s="42">
        <f>VLOOKUP(BH127,Fundamentus!A:U,14,FALSE)</f>
        <v>1.9E-2</v>
      </c>
      <c r="EW127" s="20" t="str">
        <f>IF(VLOOKUP(BH127,Fundamentus!A:U,21,FALSE)&lt;0,"Negativo",IF(VLOOKUP(BH127,Fundamentus!A:U,21,FALSE)&lt;0.05,"Fraco",IF(VLOOKUP(BH127,Fundamentus!A:U,21,FALSE)&lt;0.1,"Bom",IF(VLOOKUP(BH127,Fundamentus!A:U,21,FALSE)&gt;0.1,"Muito bom","n/a"))))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IF(VLOOKUP(BH127,Fundamentus!A:U,20,FALSE)&lt;0.5,"Baixa",IF(VLOOKUP(BH127,Fundamentus!A:U,20,FALSE)&lt;1,"Moderada",IF(VLOOKUP(BH127,Fundamentus!A:U,20,FALSE)&lt;2,"Alerta",IF(VLOOKUP(BH127,Fundamentus!A:U,20,FALSE)&gt;2,"Alta","n/a"))))</f>
        <v>Moderada</v>
      </c>
      <c r="FA127" s="10"/>
    </row>
    <row r="128" spans="1:157" s="2" customFormat="1" ht="11.25" hidden="1" x14ac:dyDescent="0.2">
      <c r="A128" s="4">
        <v>8</v>
      </c>
      <c r="B128" s="4">
        <v>8</v>
      </c>
      <c r="C128" s="4">
        <v>7.96</v>
      </c>
      <c r="D128" s="4">
        <v>7.92</v>
      </c>
      <c r="E128" s="4">
        <v>7.57</v>
      </c>
      <c r="F128" s="4">
        <v>7.18</v>
      </c>
      <c r="G128" s="4">
        <v>7.18</v>
      </c>
      <c r="H128" s="4">
        <v>7.54</v>
      </c>
      <c r="I128" s="4">
        <v>7.85</v>
      </c>
      <c r="J128" s="4">
        <v>7.99</v>
      </c>
      <c r="K128" s="4">
        <v>8.06</v>
      </c>
      <c r="L128" s="4">
        <v>8.5299999999999994</v>
      </c>
      <c r="M128" s="4">
        <v>6.33</v>
      </c>
      <c r="N128" s="4">
        <v>5.94</v>
      </c>
      <c r="O128" s="4">
        <v>5.95</v>
      </c>
      <c r="P128" s="4">
        <v>6.1</v>
      </c>
      <c r="Q128" s="4">
        <v>6.58</v>
      </c>
      <c r="R128" s="4">
        <v>6.23</v>
      </c>
      <c r="S128" s="4">
        <v>5.99</v>
      </c>
      <c r="T128" s="4">
        <v>6.17</v>
      </c>
      <c r="U128" s="4">
        <v>5.88</v>
      </c>
      <c r="V128" s="4">
        <v>6.24</v>
      </c>
      <c r="W128" s="4">
        <v>6.21</v>
      </c>
      <c r="X128" s="4">
        <v>6.25</v>
      </c>
      <c r="Y128" s="4">
        <v>6.15</v>
      </c>
      <c r="Z128" s="4">
        <v>6.64</v>
      </c>
      <c r="AA128" s="4">
        <v>6.32</v>
      </c>
      <c r="AB128" s="4">
        <v>6.26</v>
      </c>
      <c r="AC128" s="4">
        <v>6.1</v>
      </c>
      <c r="AD128" s="4">
        <v>6.18</v>
      </c>
      <c r="AE128" s="4">
        <v>6.15</v>
      </c>
      <c r="AF128" s="4">
        <v>5.98</v>
      </c>
      <c r="AG128" s="4">
        <v>5.86</v>
      </c>
      <c r="AH128" s="4">
        <v>5.24</v>
      </c>
      <c r="AI128" s="4">
        <v>5.29</v>
      </c>
      <c r="AJ128" s="4">
        <v>4.8499999999999996</v>
      </c>
      <c r="AK128" s="4">
        <v>4.76</v>
      </c>
      <c r="AL128" s="4">
        <v>5.01</v>
      </c>
      <c r="AM128" s="4">
        <v>5.23</v>
      </c>
      <c r="AN128" s="4">
        <v>5.51</v>
      </c>
      <c r="AO128" s="4">
        <v>5.6</v>
      </c>
      <c r="AP128" s="4">
        <v>5.98</v>
      </c>
      <c r="AQ128" s="4">
        <v>5.98</v>
      </c>
      <c r="AR128" s="4">
        <v>5.71</v>
      </c>
      <c r="AS128" s="4">
        <v>6.02</v>
      </c>
      <c r="AT128" s="4">
        <v>5.88</v>
      </c>
      <c r="AU128" s="4">
        <v>5.85</v>
      </c>
      <c r="AV128" s="4">
        <v>5.72</v>
      </c>
      <c r="AW128" s="4">
        <v>5.35</v>
      </c>
      <c r="AX128" s="4">
        <v>5.42</v>
      </c>
      <c r="AY128" s="12">
        <v>5.67</v>
      </c>
      <c r="AZ128" s="12">
        <v>5.73</v>
      </c>
      <c r="BA128" s="12">
        <v>5.53</v>
      </c>
      <c r="BB128" s="18">
        <v>5.6</v>
      </c>
      <c r="BC128" s="63">
        <v>5.55</v>
      </c>
      <c r="BD128" s="63">
        <v>5.33</v>
      </c>
      <c r="BE128" s="63">
        <v>5.2</v>
      </c>
      <c r="BF128" s="63">
        <v>5.18</v>
      </c>
      <c r="BG128" s="91" cm="1">
        <f t="array" aca="1" ref="BG128" ca="1">_FV(EE128,"Preço")</f>
        <v>4.7699999999999996</v>
      </c>
      <c r="BH128" s="93" t="s">
        <v>125</v>
      </c>
      <c r="BI128" s="32" cm="1">
        <f t="array" aca="1" ref="BI128" ca="1">_FV(EE128,"Beta")</f>
        <v>0.91700000000000004</v>
      </c>
      <c r="BJ128" s="96" cm="1">
        <f t="array" aca="1" ref="BJ128" ca="1">_FV(EE128,"Variação (%)",TRUE)</f>
        <v>-5.9172000000000002E-2</v>
      </c>
      <c r="BK128" s="49"/>
      <c r="BL128" s="49"/>
      <c r="BN128" s="32"/>
      <c r="BO128" s="20" cm="1">
        <f t="array" aca="1" ref="BO128" ca="1">_FV(EE128,"Baixo")</f>
        <v>4.7699999999999996</v>
      </c>
      <c r="BP128" s="20" cm="1">
        <f t="array" aca="1" ref="BP128" ca="1">_FV(EE128,"Alto")</f>
        <v>5.0199999999999996</v>
      </c>
      <c r="BQ128" s="32"/>
      <c r="BR128" s="74">
        <f ca="1">SQRT(22.5*(BG128/VLOOKUP(BH128,Fundamentus!A:U,3,FALSE))*(BG128/VLOOKUP(BH128,Fundamentus!A:U,4,FALSE)))</f>
        <v>6.413237056625035</v>
      </c>
      <c r="BT128" s="73">
        <f t="shared" ca="1" si="99"/>
        <v>-7.9150579150579187E-2</v>
      </c>
      <c r="BU128" s="36">
        <f t="shared" si="100"/>
        <v>-0.35</v>
      </c>
      <c r="BV128" s="8"/>
      <c r="BW128" s="72">
        <f t="shared" si="101"/>
        <v>4.76</v>
      </c>
      <c r="BX128" s="72">
        <f t="shared" si="102"/>
        <v>6.2151724137931046</v>
      </c>
      <c r="BY128" s="72">
        <f t="shared" si="103"/>
        <v>8.5299999999999994</v>
      </c>
      <c r="BZ128" s="17"/>
      <c r="CA128" s="17"/>
      <c r="CB128" s="43">
        <f t="shared" si="104"/>
        <v>4.715783636885309</v>
      </c>
      <c r="CC128" s="18">
        <f t="shared" si="105"/>
        <v>5.0105716963449822</v>
      </c>
      <c r="CD128" s="43">
        <f t="shared" si="106"/>
        <v>5.3053597558046555</v>
      </c>
      <c r="CE128" s="98">
        <f t="shared" ca="1" si="107"/>
        <v>-0.8160835848844572</v>
      </c>
      <c r="CF128" s="17"/>
      <c r="CG128" s="20">
        <f t="shared" si="108"/>
        <v>1.3333333333333641E-2</v>
      </c>
      <c r="CH128" s="20">
        <f t="shared" si="109"/>
        <v>2.3866666666666667</v>
      </c>
      <c r="CI128" s="20">
        <f t="shared" si="110"/>
        <v>3.7833333333333332</v>
      </c>
      <c r="CJ128" s="49">
        <f t="shared" si="111"/>
        <v>6.1566666666666663</v>
      </c>
      <c r="CK128" s="20">
        <f t="shared" si="112"/>
        <v>7.5533333333333328</v>
      </c>
      <c r="CL128" s="20">
        <f t="shared" si="113"/>
        <v>9.9266666666666659</v>
      </c>
      <c r="CM128" s="20">
        <f t="shared" si="114"/>
        <v>11.323333333333332</v>
      </c>
      <c r="CN128" s="2" cm="1">
        <f t="array" aca="1" ref="CN128" ca="1">MAX(_xlfn._xlws.FILTER(CG128:CM128,CG128:CM128&lt;BG128))</f>
        <v>3.7833333333333332</v>
      </c>
      <c r="CO128" s="2" cm="1">
        <f t="array" aca="1" ref="CO128" ca="1">MIN(_xlfn._xlws.FILTER($CG128:$CM128,$CG128:$CM128&gt;BG128))</f>
        <v>6.1566666666666663</v>
      </c>
      <c r="CP128" s="19">
        <f t="shared" ca="1" si="141"/>
        <v>0.62731277533039642</v>
      </c>
      <c r="CQ128" s="23">
        <f t="shared" ca="1" si="142"/>
        <v>-0.31365638766519821</v>
      </c>
      <c r="CR128" s="23">
        <f t="shared" ca="1" si="143"/>
        <v>-0.20910425844346547</v>
      </c>
      <c r="CS128" s="23">
        <f t="shared" ca="1" si="144"/>
        <v>-0.12546255506607928</v>
      </c>
      <c r="CT128" s="23">
        <f t="shared" ca="1" si="145"/>
        <v>-6.9701419481155158E-2</v>
      </c>
      <c r="CU128" s="23">
        <f t="shared" ca="1" si="146"/>
        <v>-3.6900751490023316E-2</v>
      </c>
      <c r="CV128" s="23">
        <f t="shared" ca="1" si="147"/>
        <v>-1.9009478040315043E-2</v>
      </c>
      <c r="CW128" s="23">
        <f t="shared" ca="1" si="148"/>
        <v>-9.6509657743137911E-3</v>
      </c>
      <c r="CX128" s="24">
        <f t="shared" ca="1" si="149"/>
        <v>9.6509657743137911E-3</v>
      </c>
      <c r="CY128" s="24">
        <f t="shared" ca="1" si="150"/>
        <v>1.9009478040315043E-2</v>
      </c>
      <c r="CZ128" s="24">
        <f t="shared" ca="1" si="151"/>
        <v>3.6900751490023316E-2</v>
      </c>
      <c r="DA128" s="24">
        <f t="shared" ca="1" si="152"/>
        <v>6.9701419481155158E-2</v>
      </c>
      <c r="DB128" s="24">
        <f t="shared" ca="1" si="153"/>
        <v>0.12546255506607928</v>
      </c>
      <c r="DC128" s="24">
        <f t="shared" ca="1" si="154"/>
        <v>0.20910425844346547</v>
      </c>
      <c r="DD128" s="24">
        <f t="shared" ca="1" si="155"/>
        <v>0.31365638766519821</v>
      </c>
      <c r="DF128" s="19" cm="1">
        <f t="array" aca="1" ref="DF128" ca="1">MAX(_xlfn._xlws.FILTER(CQ128:DD128,CQ128:DD128&lt;BJ128))</f>
        <v>-6.9701419481155158E-2</v>
      </c>
      <c r="DG128" s="19" cm="1">
        <f t="array" aca="1" ref="DG128" ca="1">MIN(_xlfn._xlws.FILTER(CQ128:DD128,CQ128:DD128&gt;BJ128))</f>
        <v>-3.6900751490023316E-2</v>
      </c>
      <c r="DH128" s="2" cm="1">
        <f t="array" aca="1" ref="DH128" ca="1">_FV(EE128,"Fechamento anterior",TRUE)</f>
        <v>5.07</v>
      </c>
      <c r="DI128" s="36">
        <f t="shared" ca="1" si="115"/>
        <v>0.32102461604945848</v>
      </c>
      <c r="DJ128" s="18">
        <f t="shared" ca="1" si="156"/>
        <v>4.716613803230544</v>
      </c>
      <c r="DK128" s="18">
        <f t="shared" ca="1" si="157"/>
        <v>4.8829131899455822</v>
      </c>
      <c r="DL128" s="9"/>
      <c r="DM128" s="9"/>
      <c r="DN128" s="9"/>
      <c r="DO128" s="9"/>
      <c r="DP128" s="79">
        <v>2.161245568059195E-2</v>
      </c>
      <c r="DQ128" s="79">
        <v>2.161245568059195E-2</v>
      </c>
      <c r="DR128" s="79">
        <v>2.161245568059195E-2</v>
      </c>
      <c r="DS128" s="79">
        <f t="shared" ca="1" si="116"/>
        <v>3.2800667991131842E-2</v>
      </c>
      <c r="DT128" s="47"/>
      <c r="DU128" s="43">
        <f t="shared" si="117"/>
        <v>0.1473940297298367</v>
      </c>
      <c r="DV128" s="83">
        <f t="shared" ca="1" si="118"/>
        <v>1.3431</v>
      </c>
      <c r="DW128" s="83">
        <f t="shared" ca="1" si="119"/>
        <v>6.8342000000000001</v>
      </c>
      <c r="DX128" s="83">
        <f t="shared" ca="1" si="120"/>
        <v>-5.4911000000000003</v>
      </c>
      <c r="DY128" s="67"/>
      <c r="DZ128" s="67"/>
      <c r="EA128" s="85"/>
      <c r="EB128" s="44">
        <v>5584000</v>
      </c>
      <c r="EC128" s="44" cm="1">
        <f t="array" aca="1" ref="EC128" ca="1">_FV(EE128,"Volume")</f>
        <v>31703500</v>
      </c>
      <c r="EE128" s="2" t="e" vm="127">
        <v>#VALUE!</v>
      </c>
      <c r="EG128" s="10" cm="1">
        <f t="array" aca="1" ref="EG128" ca="1">_FV(EE128,"Ações em circulação",TRUE)</f>
        <v>1253079000</v>
      </c>
      <c r="EH128" s="21">
        <f>VLOOKUP(BH128,Fundamentus!A:U,5,FALSE)</f>
        <v>0.24399999999999999</v>
      </c>
      <c r="EI128" s="2">
        <f t="shared" ca="1" si="121"/>
        <v>24496667336.065571</v>
      </c>
      <c r="EJ128" s="20">
        <v>305925885.36885244</v>
      </c>
      <c r="EK128" s="20">
        <f t="shared" ca="1" si="122"/>
        <v>281711674.36475408</v>
      </c>
      <c r="EM128" s="40" t="str">
        <f>IF(VLOOKUP(BH128,Fundamentus!A:U,3,FALSE)&lt;15,"Bom",IF(VLOOKUP(BH128,Fundamentus!A:U,3,FALSE)&gt;15,"Ruim","n/a"))</f>
        <v>Ruim</v>
      </c>
      <c r="EN128" s="36" t="str">
        <f>IF(VLOOKUP(BH128,Fundamentus!A:U,4,FALSE)&lt;1,"Baixo",IF(VLOOKUP(BH128,Fundamentus!A:U,4,FALSE)&lt;1.5,"Moderado",IF(VLOOKUP(BH128,Fundamentus!A:U,4,FALSE)&gt;1.5,"Alto","n/a")))</f>
        <v>Baixo</v>
      </c>
      <c r="EO128" s="20" t="str">
        <f>IF(VLOOKUP(BH128,Fundamentus!A:U,8,FALSE)&lt;0,"Risco elevado",IF(VLOOKUP(BH128,Fundamentus!A:U,8,FALSE)&lt;1,"Saudável",IF(VLOOKUP(BH128,Fundamentus!A:U,8,FALSE)&lt;3,"Estável",IF(VLOOKUP(BH128,Fundamentus!A:U,8,FALSE)&gt;3,"Alerta","n/a"))))</f>
        <v>Saudável</v>
      </c>
      <c r="EP128" s="36" t="str">
        <f t="shared" si="123"/>
        <v>Ruim</v>
      </c>
      <c r="EQ128" s="20" t="str">
        <f>IF(VLOOKUP(BH128,Fundamentus!A:U,12,FALSE)&lt;2,"Subvalorizada",IF(VLOOKUP(BH128,Fundamentus!A:U,12,FALSE)&lt;6,"Muita barata",IF(VLOOKUP(BH128,Fundamentus!A:U,12,FALSE)&lt;6,"Barata",IF(VLOOKUP(BH128,Fundamentus!A:U,12,FALSE)&lt;8,"Atrativa",IF(VLOOKUP(BH128,Fundamentus!A:U,12,FALSE)&gt;8,"Supervalorizada","n/a")))))</f>
        <v>Muita barata</v>
      </c>
      <c r="ES128" s="20" t="str">
        <f>IF(VLOOKUP(BH128,Fundamentus!A:U,17,FALSE)&lt;0.1,"Fraco retorno",IF(VLOOKUP(BH128,Fundamentus!A:U,17,FALSE)&gt;0.1,"Bom retorno","n/a"))</f>
        <v>Fraco retorno</v>
      </c>
      <c r="ET128" s="20" t="str">
        <f>IF(VLOOKUP(BH128,Fundamentus!A:U,16,FALSE)&lt;0.1,"Ineficiente",IF(VLOOKUP(BH128,Fundamentus!A:U,16,FALSE)&gt;0.1,"Eficiente","n/a"))</f>
        <v>Ineficiente</v>
      </c>
      <c r="EU128" s="41" t="str">
        <f>IF(VLOOKUP(BH128,Fundamentus!A:U,16,FALSE)&lt;0.1,"Oper. Ineficiente",IF(VLOOKUP(BH128,Fundamentus!A:U,16,FALSE)&gt;0.1,"Oper.Eficiente","n/a"))</f>
        <v>Oper. Ineficiente</v>
      </c>
      <c r="EV128" s="42">
        <f>VLOOKUP(BH128,Fundamentus!A:U,14,FALSE)</f>
        <v>1.15E-2</v>
      </c>
      <c r="EW128" s="20" t="str">
        <f>IF(VLOOKUP(BH128,Fundamentus!A:U,21,FALSE)&lt;0,"Negativo",IF(VLOOKUP(BH128,Fundamentus!A:U,21,FALSE)&lt;0.05,"Fraco",IF(VLOOKUP(BH128,Fundamentus!A:U,21,FALSE)&lt;0.1,"Bom",IF(VLOOKUP(BH128,Fundamentus!A:U,21,FALSE)&gt;0.1,"Muito bom","n/a"))))</f>
        <v>Fraco</v>
      </c>
      <c r="EY128" s="37" t="str">
        <f>IF(VLOOKUP(BH128,Fundamentus!A:U,15,FALSE)&gt;1,"Bom",IF(VLOOKUP(BH128,Fundamentus!A:U,15,FALSE)&lt;1,"Ruim","n/a"))</f>
        <v>Bom</v>
      </c>
      <c r="EZ128" s="20" t="str">
        <f>IF(VLOOKUP(BH128,Fundamentus!A:U,20,FALSE)&lt;0.5,"Baixa",IF(VLOOKUP(BH128,Fundamentus!A:U,20,FALSE)&lt;1,"Moderada",IF(VLOOKUP(BH128,Fundamentus!A:U,20,FALSE)&lt;2,"Alerta",IF(VLOOKUP(BH128,Fundamentus!A:U,20,FALSE)&gt;2,"Alta","n/a"))))</f>
        <v>Baixa</v>
      </c>
      <c r="FA128" s="10"/>
    </row>
    <row r="129" spans="1:157" s="2" customFormat="1" ht="11.25" hidden="1" x14ac:dyDescent="0.2">
      <c r="A129" s="4">
        <v>7.13</v>
      </c>
      <c r="B129" s="4">
        <v>7</v>
      </c>
      <c r="C129" s="4">
        <v>6.9</v>
      </c>
      <c r="D129" s="4">
        <v>6.9</v>
      </c>
      <c r="E129" s="4">
        <v>6.76</v>
      </c>
      <c r="F129" s="4">
        <v>6.53</v>
      </c>
      <c r="G129" s="4">
        <v>6.56</v>
      </c>
      <c r="H129" s="4">
        <v>6.84</v>
      </c>
      <c r="I129" s="4">
        <v>6.74</v>
      </c>
      <c r="J129" s="4">
        <v>7.89</v>
      </c>
      <c r="K129" s="4">
        <v>7.75</v>
      </c>
      <c r="L129" s="4">
        <v>7.4</v>
      </c>
      <c r="M129" s="4">
        <v>7.04</v>
      </c>
      <c r="N129" s="4">
        <v>6.62</v>
      </c>
      <c r="O129" s="4">
        <v>7.04</v>
      </c>
      <c r="P129" s="4">
        <v>6.75</v>
      </c>
      <c r="Q129" s="4">
        <v>6.81</v>
      </c>
      <c r="R129" s="4">
        <v>6.72</v>
      </c>
      <c r="S129" s="4">
        <v>6.55</v>
      </c>
      <c r="T129" s="4">
        <v>6.65</v>
      </c>
      <c r="U129" s="4">
        <v>6.74</v>
      </c>
      <c r="V129" s="4">
        <v>6.5</v>
      </c>
      <c r="W129" s="4">
        <v>6.44</v>
      </c>
      <c r="X129" s="4">
        <v>6.17</v>
      </c>
      <c r="Y129" s="4">
        <v>6.1</v>
      </c>
      <c r="Z129" s="4">
        <v>6.01</v>
      </c>
      <c r="AA129" s="4">
        <v>5.96</v>
      </c>
      <c r="AB129" s="4">
        <v>5.85</v>
      </c>
      <c r="AC129" s="4">
        <v>5.27</v>
      </c>
      <c r="AD129" s="4">
        <v>5.22</v>
      </c>
      <c r="AE129" s="4">
        <v>5.17</v>
      </c>
      <c r="AF129" s="4">
        <v>4.93</v>
      </c>
      <c r="AG129" s="4">
        <v>4.83</v>
      </c>
      <c r="AH129" s="4">
        <v>4.6399999999999997</v>
      </c>
      <c r="AI129" s="4">
        <v>4.55</v>
      </c>
      <c r="AJ129" s="4">
        <v>4.5199999999999996</v>
      </c>
      <c r="AK129" s="4">
        <v>4.46</v>
      </c>
      <c r="AL129" s="4">
        <v>4.5999999999999996</v>
      </c>
      <c r="AM129" s="4">
        <v>4.53</v>
      </c>
      <c r="AN129" s="4">
        <v>4.6100000000000003</v>
      </c>
      <c r="AO129" s="4">
        <v>4.42</v>
      </c>
      <c r="AP129" s="4">
        <v>4.63</v>
      </c>
      <c r="AQ129" s="4">
        <v>4.4400000000000004</v>
      </c>
      <c r="AR129" s="4">
        <v>4.0999999999999996</v>
      </c>
      <c r="AS129" s="4">
        <v>4.1399999999999997</v>
      </c>
      <c r="AT129" s="4">
        <v>4.0999999999999996</v>
      </c>
      <c r="AU129" s="4">
        <v>4.07</v>
      </c>
      <c r="AV129" s="4">
        <v>4.1100000000000003</v>
      </c>
      <c r="AW129" s="4">
        <v>3.95</v>
      </c>
      <c r="AX129" s="4">
        <v>3.96</v>
      </c>
      <c r="AY129" s="12">
        <v>4.07</v>
      </c>
      <c r="AZ129" s="12">
        <v>4.1500000000000004</v>
      </c>
      <c r="BA129" s="12">
        <v>4</v>
      </c>
      <c r="BB129" s="18">
        <v>4.13</v>
      </c>
      <c r="BC129" s="63">
        <v>4.41</v>
      </c>
      <c r="BD129" s="63">
        <v>4.32</v>
      </c>
      <c r="BE129" s="63">
        <v>4.0999999999999996</v>
      </c>
      <c r="BF129" s="63">
        <v>4.09</v>
      </c>
      <c r="BG129" s="91" cm="1">
        <f t="array" aca="1" ref="BG129" ca="1">_FV(EE129,"Preço")</f>
        <v>4.08</v>
      </c>
      <c r="BH129" s="93" t="s">
        <v>126</v>
      </c>
      <c r="BI129" s="32" cm="1">
        <f t="array" aca="1" ref="BI129" ca="1">_FV(EE129,"Beta")</f>
        <v>0.38369999999999999</v>
      </c>
      <c r="BJ129" s="96" cm="1">
        <f t="array" aca="1" ref="BJ129" ca="1">_FV(EE129,"Variação (%)",TRUE)</f>
        <v>-2.4450000000000001E-3</v>
      </c>
      <c r="BK129" s="49"/>
      <c r="BL129" s="49"/>
      <c r="BN129" s="32"/>
      <c r="BO129" s="20" cm="1">
        <f t="array" aca="1" ref="BO129" ca="1">_FV(EE129,"Baixo")</f>
        <v>4.0199999999999996</v>
      </c>
      <c r="BP129" s="20" cm="1">
        <f t="array" aca="1" ref="BP129" ca="1">_FV(EE129,"Alto")</f>
        <v>4.0999999999999996</v>
      </c>
      <c r="BQ129" s="32"/>
      <c r="BR129" s="74" t="e">
        <f ca="1">SQRT(22.5*(BG129/VLOOKUP(BH129,Fundamentus!A:U,3,FALSE))*(BG129/VLOOKUP(BH129,Fundamentus!A:U,4,FALSE)))</f>
        <v>#NUM!</v>
      </c>
      <c r="BT129" s="73">
        <f t="shared" ca="1" si="99"/>
        <v>-2.4449877750610726E-3</v>
      </c>
      <c r="BU129" s="36">
        <f t="shared" si="100"/>
        <v>-0.42496493688639553</v>
      </c>
      <c r="BV129" s="8"/>
      <c r="BW129" s="72">
        <f t="shared" si="101"/>
        <v>3.95</v>
      </c>
      <c r="BX129" s="72">
        <f t="shared" si="102"/>
        <v>5.5322413793103458</v>
      </c>
      <c r="BY129" s="72">
        <f t="shared" si="103"/>
        <v>7.89</v>
      </c>
      <c r="BZ129" s="17"/>
      <c r="CA129" s="17"/>
      <c r="CB129" s="43">
        <f t="shared" si="104"/>
        <v>3.6657165098496129</v>
      </c>
      <c r="CC129" s="18">
        <f t="shared" si="105"/>
        <v>3.9432052483598454</v>
      </c>
      <c r="CD129" s="43">
        <f t="shared" si="106"/>
        <v>4.2206939868700779</v>
      </c>
      <c r="CE129" s="98">
        <f t="shared" ca="1" si="107"/>
        <v>0.49297406581099973</v>
      </c>
      <c r="CF129" s="17"/>
      <c r="CG129" s="20">
        <f t="shared" si="108"/>
        <v>-1.21</v>
      </c>
      <c r="CH129" s="20">
        <f t="shared" si="109"/>
        <v>1.37</v>
      </c>
      <c r="CI129" s="20">
        <f t="shared" si="110"/>
        <v>2.7299999999999995</v>
      </c>
      <c r="CJ129" s="49">
        <f t="shared" si="111"/>
        <v>5.31</v>
      </c>
      <c r="CK129" s="20">
        <f t="shared" si="112"/>
        <v>6.669999999999999</v>
      </c>
      <c r="CL129" s="20">
        <f t="shared" si="113"/>
        <v>9.25</v>
      </c>
      <c r="CM129" s="20">
        <f t="shared" si="114"/>
        <v>10.61</v>
      </c>
      <c r="CN129" s="2" cm="1">
        <f t="array" aca="1" ref="CN129" ca="1">MAX(_xlfn._xlws.FILTER(CG129:CM129,CG129:CM129&lt;BG129))</f>
        <v>2.7299999999999995</v>
      </c>
      <c r="CO129" s="2" cm="1">
        <f t="array" aca="1" ref="CO129" ca="1">MIN(_xlfn._xlws.FILTER($CG129:$CM129,$CG129:$CM129&gt;BG129))</f>
        <v>5.31</v>
      </c>
      <c r="CP129" s="19">
        <f t="shared" ca="1" si="141"/>
        <v>0.94505494505494525</v>
      </c>
      <c r="CQ129" s="23">
        <f t="shared" ca="1" si="142"/>
        <v>-0.47252747252747263</v>
      </c>
      <c r="CR129" s="23">
        <f t="shared" ca="1" si="143"/>
        <v>-0.31501831501831506</v>
      </c>
      <c r="CS129" s="23">
        <f t="shared" ca="1" si="144"/>
        <v>-0.18901098901098906</v>
      </c>
      <c r="CT129" s="23">
        <f t="shared" ca="1" si="145"/>
        <v>-0.10500610500610502</v>
      </c>
      <c r="CU129" s="23">
        <f t="shared" ca="1" si="146"/>
        <v>-5.5591467356173249E-2</v>
      </c>
      <c r="CV129" s="23">
        <f t="shared" ca="1" si="147"/>
        <v>-2.8638028638028643E-2</v>
      </c>
      <c r="CW129" s="23">
        <f t="shared" ca="1" si="148"/>
        <v>-1.4539306846999158E-2</v>
      </c>
      <c r="CX129" s="24">
        <f t="shared" ca="1" si="149"/>
        <v>1.4539306846999158E-2</v>
      </c>
      <c r="CY129" s="24">
        <f t="shared" ca="1" si="150"/>
        <v>2.8638028638028643E-2</v>
      </c>
      <c r="CZ129" s="24">
        <f t="shared" ca="1" si="151"/>
        <v>5.5591467356173249E-2</v>
      </c>
      <c r="DA129" s="24">
        <f t="shared" ca="1" si="152"/>
        <v>0.10500610500610502</v>
      </c>
      <c r="DB129" s="24">
        <f t="shared" ca="1" si="153"/>
        <v>0.18901098901098906</v>
      </c>
      <c r="DC129" s="24">
        <f t="shared" ca="1" si="154"/>
        <v>0.31501831501831506</v>
      </c>
      <c r="DD129" s="24">
        <f t="shared" ca="1" si="155"/>
        <v>0.47252747252747263</v>
      </c>
      <c r="DF129" s="19" cm="1">
        <f t="array" aca="1" ref="DF129" ca="1">MAX(_xlfn._xlws.FILTER(CQ129:DD129,CQ129:DD129&lt;BJ129))</f>
        <v>-1.4539306846999158E-2</v>
      </c>
      <c r="DG129" s="19" cm="1">
        <f t="array" aca="1" ref="DG129" ca="1">MIN(_xlfn._xlws.FILTER(CQ129:DD129,CQ129:DD129&gt;BJ129))</f>
        <v>1.4539306846999158E-2</v>
      </c>
      <c r="DH129" s="2" cm="1">
        <f t="array" aca="1" ref="DH129" ca="1">_FV(EE129,"Fechamento anterior",TRUE)</f>
        <v>4.09</v>
      </c>
      <c r="DI129" s="36">
        <f t="shared" ca="1" si="115"/>
        <v>0.41591800761926595</v>
      </c>
      <c r="DJ129" s="18">
        <f t="shared" ca="1" si="156"/>
        <v>4.0305342349957733</v>
      </c>
      <c r="DK129" s="18">
        <f t="shared" ca="1" si="157"/>
        <v>4.1494657650042264</v>
      </c>
      <c r="DL129" s="9"/>
      <c r="DM129" s="9"/>
      <c r="DN129" s="9"/>
      <c r="DO129" s="9"/>
      <c r="DP129" s="79">
        <v>2.8400832678907532E-2</v>
      </c>
      <c r="DQ129" s="79">
        <v>3.0640129101667551E-2</v>
      </c>
      <c r="DR129" s="79">
        <v>3.0640129101667551E-2</v>
      </c>
      <c r="DS129" s="79">
        <f t="shared" ca="1" si="116"/>
        <v>2.9078613693998317E-2</v>
      </c>
      <c r="DT129" s="47"/>
      <c r="DU129" s="43">
        <f t="shared" si="117"/>
        <v>0.1387443692551163</v>
      </c>
      <c r="DV129" s="83">
        <f t="shared" ca="1" si="118"/>
        <v>0.80979999999999996</v>
      </c>
      <c r="DW129" s="83">
        <f t="shared" ca="1" si="119"/>
        <v>0.62819999999999998</v>
      </c>
      <c r="DX129" s="83">
        <f t="shared" ca="1" si="120"/>
        <v>0.18159999999999998</v>
      </c>
      <c r="DY129" s="67"/>
      <c r="DZ129" s="67"/>
      <c r="EA129" s="85"/>
      <c r="EB129" s="44">
        <v>311100</v>
      </c>
      <c r="EC129" s="44" cm="1">
        <f t="array" aca="1" ref="EC129" ca="1">_FV(EE129,"Volume")</f>
        <v>259300</v>
      </c>
      <c r="EE129" s="2" t="e" vm="128">
        <v>#VALUE!</v>
      </c>
      <c r="EG129" s="10" cm="1">
        <f t="array" aca="1" ref="EG129" ca="1">_FV(EE129,"Ações em circulação",TRUE)</f>
        <v>303541900</v>
      </c>
      <c r="EH129" s="21">
        <f>VLOOKUP(BH129,Fundamentus!A:U,5,FALSE)</f>
        <v>0.56399999999999995</v>
      </c>
      <c r="EI129" s="2">
        <f t="shared" ca="1" si="121"/>
        <v>2195835021.2765961</v>
      </c>
      <c r="EJ129" s="20">
        <v>-34999349.820744686</v>
      </c>
      <c r="EK129" s="20">
        <f t="shared" ca="1" si="122"/>
        <v>-34913776.838297881</v>
      </c>
      <c r="EM129" s="40" t="str">
        <f>IF(VLOOKUP(BH129,Fundamentus!A:U,3,FALSE)&lt;15,"Bom",IF(VLOOKUP(BH129,Fundamentus!A:U,3,FALSE)&gt;15,"Ruim","n/a"))</f>
        <v>Bom</v>
      </c>
      <c r="EN129" s="36" t="str">
        <f>IF(VLOOKUP(BH129,Fundamentus!A:U,4,FALSE)&lt;1,"Baixo",IF(VLOOKUP(BH129,Fundamentus!A:U,4,FALSE)&lt;1.5,"Moderado",IF(VLOOKUP(BH129,Fundamentus!A:U,4,FALSE)&gt;1.5,"Alto","n/a")))</f>
        <v>Baixo</v>
      </c>
      <c r="EO129" s="20" t="str">
        <f>IF(VLOOKUP(BH129,Fundamentus!A:U,8,FALSE)&lt;0,"Risco elevado",IF(VLOOKUP(BH129,Fundamentus!A:U,8,FALSE)&lt;1,"Saudável",IF(VLOOKUP(BH129,Fundamentus!A:U,8,FALSE)&lt;3,"Estável",IF(VLOOKUP(BH129,Fundamentus!A:U,8,FALSE)&gt;3,"Alerta","n/a"))))</f>
        <v>Saudável</v>
      </c>
      <c r="EP129" s="36" t="str">
        <f t="shared" si="123"/>
        <v>Ruim</v>
      </c>
      <c r="EQ129" s="20" t="str">
        <f>IF(VLOOKUP(BH129,Fundamentus!A:U,12,FALSE)&lt;2,"Subvalorizada",IF(VLOOKUP(BH129,Fundamentus!A:U,12,FALSE)&lt;6,"Muita barata",IF(VLOOKUP(BH129,Fundamentus!A:U,12,FALSE)&lt;6,"Barata",IF(VLOOKUP(BH129,Fundamentus!A:U,12,FALSE)&lt;8,"Atrativa",IF(VLOOKUP(BH129,Fundamentus!A:U,12,FALSE)&gt;8,"Supervalorizada","n/a")))))</f>
        <v>Muita barata</v>
      </c>
      <c r="ES129" s="20" t="str">
        <f>IF(VLOOKUP(BH129,Fundamentus!A:U,17,FALSE)&lt;0.1,"Fraco retorno",IF(VLOOKUP(BH129,Fundamentus!A:U,17,FALSE)&gt;0.1,"Bom retorno","n/a"))</f>
        <v>Fraco retorno</v>
      </c>
      <c r="ET129" s="20" t="str">
        <f>IF(VLOOKUP(BH129,Fundamentus!A:U,16,FALSE)&lt;0.1,"Ineficiente",IF(VLOOKUP(BH129,Fundamentus!A:U,16,FALSE)&gt;0.1,"Eficiente","n/a"))</f>
        <v>Ineficiente</v>
      </c>
      <c r="EU129" s="41" t="str">
        <f>IF(VLOOKUP(BH129,Fundamentus!A:U,16,FALSE)&lt;0.1,"Oper. Ineficiente",IF(VLOOKUP(BH129,Fundamentus!A:U,16,FALSE)&gt;0.1,"Oper.Eficiente","n/a"))</f>
        <v>Oper. Ineficiente</v>
      </c>
      <c r="EV129" s="42">
        <f>VLOOKUP(BH129,Fundamentus!A:U,14,FALSE)</f>
        <v>-1.5900000000000001E-2</v>
      </c>
      <c r="EW129" s="20" t="str">
        <f>IF(VLOOKUP(BH129,Fundamentus!A:U,21,FALSE)&lt;0,"Negativo",IF(VLOOKUP(BH129,Fundamentus!A:U,21,FALSE)&lt;0.05,"Fraco",IF(VLOOKUP(BH129,Fundamentus!A:U,21,FALSE)&lt;0.1,"Bom",IF(VLOOKUP(BH129,Fundamentus!A:U,21,FALSE)&gt;0.1,"Muito bom","n/a"))))</f>
        <v>Muito bom</v>
      </c>
      <c r="EY129" s="37" t="str">
        <f>IF(VLOOKUP(BH129,Fundamentus!A:U,15,FALSE)&gt;1,"Bom",IF(VLOOKUP(BH129,Fundamentus!A:U,15,FALSE)&lt;1,"Ruim","n/a"))</f>
        <v>Bom</v>
      </c>
      <c r="EZ129" s="20" t="str">
        <f>IF(VLOOKUP(BH129,Fundamentus!A:U,20,FALSE)&lt;0.5,"Baixa",IF(VLOOKUP(BH129,Fundamentus!A:U,20,FALSE)&lt;1,"Moderada",IF(VLOOKUP(BH129,Fundamentus!A:U,20,FALSE)&lt;2,"Alerta",IF(VLOOKUP(BH129,Fundamentus!A:U,20,FALSE)&gt;2,"Alta","n/a"))))</f>
        <v>Alta</v>
      </c>
      <c r="FA129" s="10"/>
    </row>
    <row r="130" spans="1:157" s="2" customFormat="1" ht="11.25" hidden="1" x14ac:dyDescent="0.2">
      <c r="A130" s="4">
        <v>20.23</v>
      </c>
      <c r="B130" s="4">
        <v>20.28</v>
      </c>
      <c r="C130" s="4">
        <v>20.149999999999999</v>
      </c>
      <c r="D130" s="4">
        <v>19.97</v>
      </c>
      <c r="E130" s="4">
        <v>19.28</v>
      </c>
      <c r="F130" s="4">
        <v>18.28</v>
      </c>
      <c r="G130" s="4">
        <v>18.010000000000002</v>
      </c>
      <c r="H130" s="4">
        <v>17.97</v>
      </c>
      <c r="I130" s="4">
        <v>18.53</v>
      </c>
      <c r="J130" s="4">
        <v>19.12</v>
      </c>
      <c r="K130" s="4">
        <v>19.239999999999998</v>
      </c>
      <c r="L130" s="4">
        <v>18.93</v>
      </c>
      <c r="M130" s="4">
        <v>18.57</v>
      </c>
      <c r="N130" s="4">
        <v>17.989999999999998</v>
      </c>
      <c r="O130" s="4">
        <v>18.07</v>
      </c>
      <c r="P130" s="4">
        <v>18.32</v>
      </c>
      <c r="Q130" s="4">
        <v>18.89</v>
      </c>
      <c r="R130" s="4">
        <v>19.47</v>
      </c>
      <c r="S130" s="4">
        <v>18.559999999999999</v>
      </c>
      <c r="T130" s="4">
        <v>18.829999999999998</v>
      </c>
      <c r="U130" s="4">
        <v>18.260000000000002</v>
      </c>
      <c r="V130" s="4">
        <v>20.3</v>
      </c>
      <c r="W130" s="4">
        <v>19.72</v>
      </c>
      <c r="X130" s="4">
        <v>19.45</v>
      </c>
      <c r="Y130" s="4">
        <v>18.91</v>
      </c>
      <c r="Z130" s="4">
        <v>19.38</v>
      </c>
      <c r="AA130" s="4">
        <v>19.77</v>
      </c>
      <c r="AB130" s="4">
        <v>19.37</v>
      </c>
      <c r="AC130" s="4">
        <v>17.62</v>
      </c>
      <c r="AD130" s="4">
        <v>18.05</v>
      </c>
      <c r="AE130" s="4">
        <v>18.45</v>
      </c>
      <c r="AF130" s="4">
        <v>17.48</v>
      </c>
      <c r="AG130" s="4">
        <v>17.510000000000002</v>
      </c>
      <c r="AH130" s="4">
        <v>16.739999999999998</v>
      </c>
      <c r="AI130" s="4">
        <v>16.61</v>
      </c>
      <c r="AJ130" s="4">
        <v>16.02</v>
      </c>
      <c r="AK130" s="4">
        <v>15.73</v>
      </c>
      <c r="AL130" s="4">
        <v>16.68</v>
      </c>
      <c r="AM130" s="4">
        <v>16.3</v>
      </c>
      <c r="AN130" s="4">
        <v>16.649999999999999</v>
      </c>
      <c r="AO130" s="4">
        <v>16.75</v>
      </c>
      <c r="AP130" s="4">
        <v>16.93</v>
      </c>
      <c r="AQ130" s="4">
        <v>17.46</v>
      </c>
      <c r="AR130" s="4">
        <v>16.600000000000001</v>
      </c>
      <c r="AS130" s="4">
        <v>17.14</v>
      </c>
      <c r="AT130" s="4">
        <v>17.5</v>
      </c>
      <c r="AU130" s="4">
        <v>17.940000000000001</v>
      </c>
      <c r="AV130" s="4">
        <v>18.23</v>
      </c>
      <c r="AW130" s="4">
        <v>16.71</v>
      </c>
      <c r="AX130" s="4">
        <v>17.170000000000002</v>
      </c>
      <c r="AY130" s="12">
        <v>17</v>
      </c>
      <c r="AZ130" s="12">
        <v>17.59</v>
      </c>
      <c r="BA130" s="12">
        <v>16.190000000000001</v>
      </c>
      <c r="BB130" s="18">
        <v>16.079999999999998</v>
      </c>
      <c r="BC130" s="63">
        <v>16.87</v>
      </c>
      <c r="BD130" s="63">
        <v>16.100000000000001</v>
      </c>
      <c r="BE130" s="63">
        <v>15.6</v>
      </c>
      <c r="BF130" s="63">
        <v>15.87</v>
      </c>
      <c r="BG130" s="91" cm="1">
        <f t="array" aca="1" ref="BG130" ca="1">_FV(EE130,"Preço")</f>
        <v>15.61</v>
      </c>
      <c r="BH130" s="93" t="s">
        <v>127</v>
      </c>
      <c r="BI130" s="32" cm="1">
        <f t="array" aca="1" ref="BI130" ca="1">_FV(EE130,"Beta")</f>
        <v>0.96609999999999996</v>
      </c>
      <c r="BJ130" s="96" cm="1">
        <f t="array" aca="1" ref="BJ130" ca="1">_FV(EE130,"Variação (%)",TRUE)</f>
        <v>-1.6383000000000002E-2</v>
      </c>
      <c r="BK130" s="49"/>
      <c r="BL130" s="49"/>
      <c r="BN130" s="32"/>
      <c r="BO130" s="20" cm="1">
        <f t="array" aca="1" ref="BO130" ca="1">_FV(EE130,"Baixo")</f>
        <v>15.58</v>
      </c>
      <c r="BP130" s="20" cm="1">
        <f t="array" aca="1" ref="BP130" ca="1">_FV(EE130,"Alto")</f>
        <v>15.78</v>
      </c>
      <c r="BQ130" s="32"/>
      <c r="BR130" s="74">
        <f ca="1">SQRT(22.5*(BG130/VLOOKUP(BH130,Fundamentus!A:U,3,FALSE))*(BG130/VLOOKUP(BH130,Fundamentus!A:U,4,FALSE)))</f>
        <v>38.17043004738953</v>
      </c>
      <c r="BT130" s="73">
        <f t="shared" ca="1" si="99"/>
        <v>-1.6383112791430361E-2</v>
      </c>
      <c r="BU130" s="36">
        <f t="shared" si="100"/>
        <v>-0.22886801779535346</v>
      </c>
      <c r="BV130" s="8"/>
      <c r="BW130" s="72">
        <f t="shared" si="101"/>
        <v>15.6</v>
      </c>
      <c r="BX130" s="72">
        <f t="shared" si="102"/>
        <v>17.955517241379308</v>
      </c>
      <c r="BY130" s="72">
        <f t="shared" si="103"/>
        <v>20.3</v>
      </c>
      <c r="BZ130" s="17"/>
      <c r="CA130" s="17"/>
      <c r="CB130" s="43">
        <f t="shared" si="104"/>
        <v>14.298036629247497</v>
      </c>
      <c r="CC130" s="18">
        <f t="shared" si="105"/>
        <v>15.244292408622186</v>
      </c>
      <c r="CD130" s="43">
        <f t="shared" si="106"/>
        <v>16.190548187996878</v>
      </c>
      <c r="CE130" s="98">
        <f t="shared" ca="1" si="107"/>
        <v>0.38647858153054759</v>
      </c>
      <c r="CF130" s="17"/>
      <c r="CG130" s="20">
        <f t="shared" si="108"/>
        <v>9.5133333333333265</v>
      </c>
      <c r="CH130" s="20">
        <f t="shared" si="109"/>
        <v>12.556666666666663</v>
      </c>
      <c r="CI130" s="20">
        <f t="shared" si="110"/>
        <v>14.213333333333328</v>
      </c>
      <c r="CJ130" s="49">
        <f t="shared" si="111"/>
        <v>17.256666666666664</v>
      </c>
      <c r="CK130" s="20">
        <f t="shared" si="112"/>
        <v>18.913333333333327</v>
      </c>
      <c r="CL130" s="20">
        <f t="shared" si="113"/>
        <v>21.956666666666663</v>
      </c>
      <c r="CM130" s="20">
        <f t="shared" si="114"/>
        <v>23.61333333333333</v>
      </c>
      <c r="CN130" s="2" cm="1">
        <f t="array" aca="1" ref="CN130" ca="1">MAX(_xlfn._xlws.FILTER(CG130:CM130,CG130:CM130&lt;BG130))</f>
        <v>14.213333333333328</v>
      </c>
      <c r="CO130" s="2" cm="1">
        <f t="array" aca="1" ref="CO130" ca="1">MIN(_xlfn._xlws.FILTER($CG130:$CM130,$CG130:$CM130&gt;BG130))</f>
        <v>17.256666666666664</v>
      </c>
      <c r="CP130" s="19">
        <f t="shared" ca="1" si="141"/>
        <v>0.21411819887429684</v>
      </c>
      <c r="CQ130" s="23">
        <f t="shared" ca="1" si="142"/>
        <v>-0.10705909943714842</v>
      </c>
      <c r="CR130" s="23">
        <f t="shared" ca="1" si="143"/>
        <v>-7.1372732958098942E-2</v>
      </c>
      <c r="CS130" s="23">
        <f t="shared" ca="1" si="144"/>
        <v>-4.2823639774859368E-2</v>
      </c>
      <c r="CT130" s="23">
        <f t="shared" ca="1" si="145"/>
        <v>-2.3790910986032983E-2</v>
      </c>
      <c r="CU130" s="23">
        <f t="shared" ca="1" si="146"/>
        <v>-1.2595188169076284E-2</v>
      </c>
      <c r="CV130" s="23">
        <f t="shared" ca="1" si="147"/>
        <v>-6.4884302689180856E-3</v>
      </c>
      <c r="CW130" s="23">
        <f t="shared" ca="1" si="148"/>
        <v>-3.2941261365276439E-3</v>
      </c>
      <c r="CX130" s="24">
        <f t="shared" ca="1" si="149"/>
        <v>3.2941261365276439E-3</v>
      </c>
      <c r="CY130" s="24">
        <f t="shared" ca="1" si="150"/>
        <v>6.4884302689180856E-3</v>
      </c>
      <c r="CZ130" s="24">
        <f t="shared" ca="1" si="151"/>
        <v>1.2595188169076284E-2</v>
      </c>
      <c r="DA130" s="24">
        <f t="shared" ca="1" si="152"/>
        <v>2.3790910986032983E-2</v>
      </c>
      <c r="DB130" s="24">
        <f t="shared" ca="1" si="153"/>
        <v>4.2823639774859368E-2</v>
      </c>
      <c r="DC130" s="24">
        <f t="shared" ca="1" si="154"/>
        <v>7.1372732958098942E-2</v>
      </c>
      <c r="DD130" s="24">
        <f t="shared" ca="1" si="155"/>
        <v>0.10705909943714842</v>
      </c>
      <c r="DF130" s="19" cm="1">
        <f t="array" aca="1" ref="DF130" ca="1">MAX(_xlfn._xlws.FILTER(CQ130:DD130,CQ130:DD130&lt;BJ130))</f>
        <v>-2.3790910986032983E-2</v>
      </c>
      <c r="DG130" s="19" cm="1">
        <f t="array" aca="1" ref="DG130" ca="1">MIN(_xlfn._xlws.FILTER(CQ130:DD130,CQ130:DD130&gt;BJ130))</f>
        <v>-1.2595188169076284E-2</v>
      </c>
      <c r="DH130" s="2" cm="1">
        <f t="array" aca="1" ref="DH130" ca="1">_FV(EE130,"Fechamento anterior",TRUE)</f>
        <v>15.87</v>
      </c>
      <c r="DI130" s="36">
        <f t="shared" ca="1" si="115"/>
        <v>0.66166323655164472</v>
      </c>
      <c r="DJ130" s="18">
        <f t="shared" ca="1" si="156"/>
        <v>15.492438242651655</v>
      </c>
      <c r="DK130" s="18">
        <f t="shared" ca="1" si="157"/>
        <v>15.670114363756758</v>
      </c>
      <c r="DL130" s="9"/>
      <c r="DM130" s="9"/>
      <c r="DN130" s="9"/>
      <c r="DO130" s="9"/>
      <c r="DP130" s="79">
        <v>3.1800240495892663E-3</v>
      </c>
      <c r="DQ130" s="79">
        <v>1.160702206173928E-2</v>
      </c>
      <c r="DR130" s="79">
        <v>6.3311029427668801E-3</v>
      </c>
      <c r="DS130" s="79">
        <f t="shared" ca="1" si="116"/>
        <v>1.1195722816956698E-2</v>
      </c>
      <c r="DT130" s="47"/>
      <c r="DU130" s="43">
        <f t="shared" si="117"/>
        <v>0.47312788968734504</v>
      </c>
      <c r="DV130" s="83">
        <f t="shared" ca="1" si="118"/>
        <v>1.3921999999999999</v>
      </c>
      <c r="DW130" s="83">
        <f t="shared" ca="1" si="119"/>
        <v>2.6044</v>
      </c>
      <c r="DX130" s="83">
        <f t="shared" ca="1" si="120"/>
        <v>-1.2122000000000002</v>
      </c>
      <c r="DY130" s="67"/>
      <c r="DZ130" s="67"/>
      <c r="EA130" s="85"/>
      <c r="EB130" s="44">
        <v>2709200</v>
      </c>
      <c r="EC130" s="44" cm="1">
        <f t="array" aca="1" ref="EC130" ca="1">_FV(EE130,"Volume")</f>
        <v>4575900</v>
      </c>
      <c r="EE130" s="2" t="e" vm="129">
        <v>#VALUE!</v>
      </c>
      <c r="EG130" s="10" cm="1">
        <f t="array" aca="1" ref="EG130" ca="1">_FV(EE130,"Ações em circulação",TRUE)</f>
        <v>393096600</v>
      </c>
      <c r="EH130" s="21">
        <f>VLOOKUP(BH130,Fundamentus!A:U,5,FALSE)</f>
        <v>0</v>
      </c>
      <c r="EI130" s="2" t="e">
        <f t="shared" ca="1" si="121"/>
        <v>#DIV/0!</v>
      </c>
      <c r="EJ130" s="20" t="e">
        <v>#DIV/0!</v>
      </c>
      <c r="EK130" s="20" t="e">
        <f t="shared" ca="1" si="122"/>
        <v>#DIV/0!</v>
      </c>
      <c r="EM130" s="40" t="str">
        <f>IF(VLOOKUP(BH130,Fundamentus!A:U,3,FALSE)&lt;15,"Bom",IF(VLOOKUP(BH130,Fundamentus!A:U,3,FALSE)&gt;15,"Ruim","n/a"))</f>
        <v>Bom</v>
      </c>
      <c r="EN130" s="36" t="str">
        <f>IF(VLOOKUP(BH130,Fundamentus!A:U,4,FALSE)&lt;1,"Baixo",IF(VLOOKUP(BH130,Fundamentus!A:U,4,FALSE)&lt;1.5,"Moderado",IF(VLOOKUP(BH130,Fundamentus!A:U,4,FALSE)&gt;1.5,"Alto","n/a")))</f>
        <v>Baixo</v>
      </c>
      <c r="EO130" s="20" t="str">
        <f>IF(VLOOKUP(BH130,Fundamentus!A:U,8,FALSE)&lt;0,"Risco elevado",IF(VLOOKUP(BH130,Fundamentus!A:U,8,FALSE)&lt;1,"Saudável",IF(VLOOKUP(BH130,Fundamentus!A:U,8,FALSE)&lt;3,"Estável",IF(VLOOKUP(BH130,Fundamentus!A:U,8,FALSE)&gt;3,"Alerta","n/a"))))</f>
        <v>Alerta</v>
      </c>
      <c r="EP130" s="36" t="str">
        <f t="shared" si="123"/>
        <v>Ruim</v>
      </c>
      <c r="EQ130" s="20" t="str">
        <f>IF(VLOOKUP(BH130,Fundamentus!A:U,12,FALSE)&lt;2,"Subvalorizada",IF(VLOOKUP(BH130,Fundamentus!A:U,12,FALSE)&lt;6,"Muita barata",IF(VLOOKUP(BH130,Fundamentus!A:U,12,FALSE)&lt;6,"Barata",IF(VLOOKUP(BH130,Fundamentus!A:U,12,FALSE)&lt;8,"Atrativa",IF(VLOOKUP(BH130,Fundamentus!A:U,12,FALSE)&gt;8,"Supervalorizada","n/a")))))</f>
        <v>Subvalorizada</v>
      </c>
      <c r="ES130" s="20" t="str">
        <f>IF(VLOOKUP(BH130,Fundamentus!A:U,17,FALSE)&lt;0.1,"Fraco retorno",IF(VLOOKUP(BH130,Fundamentus!A:U,17,FALSE)&gt;0.1,"Bom retorno","n/a"))</f>
        <v>Bom retorno</v>
      </c>
      <c r="ET130" s="20" t="str">
        <f>IF(VLOOKUP(BH130,Fundamentus!A:U,16,FALSE)&lt;0.1,"Ineficiente",IF(VLOOKUP(BH130,Fundamentus!A:U,16,FALSE)&gt;0.1,"Eficiente","n/a"))</f>
        <v>Ineficiente</v>
      </c>
      <c r="EU130" s="41" t="str">
        <f>IF(VLOOKUP(BH130,Fundamentus!A:U,16,FALSE)&lt;0.1,"Oper. Ineficiente",IF(VLOOKUP(BH130,Fundamentus!A:U,16,FALSE)&gt;0.1,"Oper.Eficiente","n/a"))</f>
        <v>Oper. Ineficiente</v>
      </c>
      <c r="EV130" s="42">
        <f>VLOOKUP(BH130,Fundamentus!A:U,14,FALSE)</f>
        <v>0</v>
      </c>
      <c r="EW130" s="20" t="str">
        <f>IF(VLOOKUP(BH130,Fundamentus!A:U,21,FALSE)&lt;0,"Negativo",IF(VLOOKUP(BH130,Fundamentus!A:U,21,FALSE)&lt;0.05,"Fraco",IF(VLOOKUP(BH130,Fundamentus!A:U,21,FALSE)&lt;0.1,"Bom",IF(VLOOKUP(BH130,Fundamentus!A:U,21,FALSE)&gt;0.1,"Muito bom","n/a"))))</f>
        <v>Fraco</v>
      </c>
      <c r="EY130" s="37" t="str">
        <f>IF(VLOOKUP(BH130,Fundamentus!A:U,15,FALSE)&gt;1,"Bom",IF(VLOOKUP(BH130,Fundamentus!A:U,15,FALSE)&lt;1,"Ruim","n/a"))</f>
        <v>Bom</v>
      </c>
      <c r="EZ130" s="20" t="str">
        <f>IF(VLOOKUP(BH130,Fundamentus!A:U,20,FALSE)&lt;0.5,"Baixa",IF(VLOOKUP(BH130,Fundamentus!A:U,20,FALSE)&lt;1,"Moderada",IF(VLOOKUP(BH130,Fundamentus!A:U,20,FALSE)&lt;2,"Alerta",IF(VLOOKUP(BH130,Fundamentus!A:U,20,FALSE)&gt;2,"Alta","n/a"))))</f>
        <v>Baixa</v>
      </c>
      <c r="FA130" s="10"/>
    </row>
    <row r="131" spans="1:157" s="2" customFormat="1" ht="11.25" hidden="1" x14ac:dyDescent="0.2">
      <c r="A131" s="4">
        <v>19.38</v>
      </c>
      <c r="B131" s="4">
        <v>19.329999999999998</v>
      </c>
      <c r="C131" s="4">
        <v>20.48</v>
      </c>
      <c r="D131" s="4">
        <v>20.54</v>
      </c>
      <c r="E131" s="4">
        <v>20.16</v>
      </c>
      <c r="F131" s="4">
        <v>19.72</v>
      </c>
      <c r="G131" s="4">
        <v>19.61</v>
      </c>
      <c r="H131" s="4">
        <v>20.65</v>
      </c>
      <c r="I131" s="4">
        <v>20.89</v>
      </c>
      <c r="J131" s="4">
        <v>20.69</v>
      </c>
      <c r="K131" s="4">
        <v>20.66</v>
      </c>
      <c r="L131" s="4">
        <v>20.32</v>
      </c>
      <c r="M131" s="4">
        <v>21.81</v>
      </c>
      <c r="N131" s="4">
        <v>21.01</v>
      </c>
      <c r="O131" s="4">
        <v>22.38</v>
      </c>
      <c r="P131" s="4">
        <v>22.99</v>
      </c>
      <c r="Q131" s="4">
        <v>23.53</v>
      </c>
      <c r="R131" s="4">
        <v>23.72</v>
      </c>
      <c r="S131" s="4">
        <v>24.8</v>
      </c>
      <c r="T131" s="4">
        <v>25.44</v>
      </c>
      <c r="U131" s="4">
        <v>24.89</v>
      </c>
      <c r="V131" s="4">
        <v>22.67</v>
      </c>
      <c r="W131" s="4">
        <v>22.83</v>
      </c>
      <c r="X131" s="4">
        <v>21.91</v>
      </c>
      <c r="Y131" s="4">
        <v>23.39</v>
      </c>
      <c r="Z131" s="4">
        <v>22.55</v>
      </c>
      <c r="AA131" s="4">
        <v>23.29</v>
      </c>
      <c r="AB131" s="4">
        <v>23.29</v>
      </c>
      <c r="AC131" s="4">
        <v>24.64</v>
      </c>
      <c r="AD131" s="4">
        <v>25.22</v>
      </c>
      <c r="AE131" s="4">
        <v>25.38</v>
      </c>
      <c r="AF131" s="4">
        <v>24.75</v>
      </c>
      <c r="AG131" s="4">
        <v>22.7</v>
      </c>
      <c r="AH131" s="4">
        <v>21.07</v>
      </c>
      <c r="AI131" s="4">
        <v>20.239999999999998</v>
      </c>
      <c r="AJ131" s="4">
        <v>20.8</v>
      </c>
      <c r="AK131" s="4">
        <v>21.51</v>
      </c>
      <c r="AL131" s="4">
        <v>21.72</v>
      </c>
      <c r="AM131" s="4">
        <v>21.48</v>
      </c>
      <c r="AN131" s="4">
        <v>22.38</v>
      </c>
      <c r="AO131" s="4">
        <v>23.26</v>
      </c>
      <c r="AP131" s="4">
        <v>24.52</v>
      </c>
      <c r="AQ131" s="4">
        <v>23.2</v>
      </c>
      <c r="AR131" s="4">
        <v>23.27</v>
      </c>
      <c r="AS131" s="4">
        <v>22.84</v>
      </c>
      <c r="AT131" s="4">
        <v>24</v>
      </c>
      <c r="AU131" s="4">
        <v>23.934999999999999</v>
      </c>
      <c r="AV131" s="4">
        <v>20.399999999999999</v>
      </c>
      <c r="AW131" s="4">
        <v>19.63</v>
      </c>
      <c r="AX131" s="4">
        <v>19.75</v>
      </c>
      <c r="AY131" s="12">
        <v>20.010000000000002</v>
      </c>
      <c r="AZ131" s="12">
        <v>21.24</v>
      </c>
      <c r="BA131" s="12">
        <v>21.44</v>
      </c>
      <c r="BB131" s="18">
        <v>21.04</v>
      </c>
      <c r="BC131" s="63">
        <v>22.31</v>
      </c>
      <c r="BD131" s="63">
        <v>24.28</v>
      </c>
      <c r="BE131" s="63">
        <v>23.88</v>
      </c>
      <c r="BF131" s="63">
        <v>24.29</v>
      </c>
      <c r="BG131" s="91" cm="1">
        <f t="array" aca="1" ref="BG131" ca="1">_FV(EE131,"Preço")</f>
        <v>26.52</v>
      </c>
      <c r="BH131" s="93" t="s">
        <v>128</v>
      </c>
      <c r="BI131" s="32" cm="1">
        <f t="array" aca="1" ref="BI131" ca="1">_FV(EE131,"Beta")</f>
        <v>0.82799999999999996</v>
      </c>
      <c r="BJ131" s="96" cm="1">
        <f t="array" aca="1" ref="BJ131" ca="1">_FV(EE131,"Variação (%)",TRUE)</f>
        <v>5.7416000000000002E-2</v>
      </c>
      <c r="BK131" s="49"/>
      <c r="BL131" s="49"/>
      <c r="BN131" s="32"/>
      <c r="BO131" s="20" cm="1">
        <f t="array" aca="1" ref="BO131" ca="1">_FV(EE131,"Baixo")</f>
        <v>24.89</v>
      </c>
      <c r="BP131" s="20" cm="1">
        <f t="array" aca="1" ref="BP131" ca="1">_FV(EE131,"Alto")</f>
        <v>26.71</v>
      </c>
      <c r="BQ131" s="32"/>
      <c r="BR131" s="74">
        <f ca="1">SQRT(22.5*(BG131/VLOOKUP(BH131,Fundamentus!A:U,3,FALSE))*(BG131/VLOOKUP(BH131,Fundamentus!A:U,4,FALSE)))</f>
        <v>47.223811376089223</v>
      </c>
      <c r="BT131" s="73">
        <f t="shared" ca="1" si="99"/>
        <v>9.180732811856733E-2</v>
      </c>
      <c r="BU131" s="36">
        <f t="shared" si="100"/>
        <v>0.2321981424148607</v>
      </c>
      <c r="BV131" s="8"/>
      <c r="BW131" s="72">
        <f t="shared" si="101"/>
        <v>19.329999999999998</v>
      </c>
      <c r="BX131" s="72">
        <f t="shared" si="102"/>
        <v>22.208879310344827</v>
      </c>
      <c r="BY131" s="72">
        <f t="shared" si="103"/>
        <v>25.44</v>
      </c>
      <c r="BZ131" s="17"/>
      <c r="CA131" s="17"/>
      <c r="CB131" s="43">
        <f t="shared" si="104"/>
        <v>23.444619231521759</v>
      </c>
      <c r="CC131" s="18">
        <f t="shared" si="105"/>
        <v>25.072071227741617</v>
      </c>
      <c r="CD131" s="43">
        <f t="shared" si="106"/>
        <v>26.699523223961474</v>
      </c>
      <c r="CE131" s="98">
        <f t="shared" ca="1" si="107"/>
        <v>0.88969061798537841</v>
      </c>
      <c r="CF131" s="17"/>
      <c r="CG131" s="20">
        <f t="shared" si="108"/>
        <v>14.489999999999995</v>
      </c>
      <c r="CH131" s="20">
        <f t="shared" si="109"/>
        <v>16.909999999999997</v>
      </c>
      <c r="CI131" s="20">
        <f t="shared" si="110"/>
        <v>20.599999999999998</v>
      </c>
      <c r="CJ131" s="49">
        <f t="shared" si="111"/>
        <v>23.02</v>
      </c>
      <c r="CK131" s="20">
        <f t="shared" si="112"/>
        <v>26.71</v>
      </c>
      <c r="CL131" s="20">
        <f t="shared" si="113"/>
        <v>29.130000000000003</v>
      </c>
      <c r="CM131" s="20">
        <f t="shared" si="114"/>
        <v>32.820000000000007</v>
      </c>
      <c r="CN131" s="2" cm="1">
        <f t="array" aca="1" ref="CN131" ca="1">MAX(_xlfn._xlws.FILTER(CG131:CM131,CG131:CM131&lt;BG131))</f>
        <v>23.02</v>
      </c>
      <c r="CO131" s="2" cm="1">
        <f t="array" aca="1" ref="CO131" ca="1">MIN(_xlfn._xlws.FILTER($CG131:$CM131,$CG131:$CM131&gt;BG131))</f>
        <v>26.71</v>
      </c>
      <c r="CP131" s="19">
        <f t="shared" ca="1" si="141"/>
        <v>0.1602953953084274</v>
      </c>
      <c r="CQ131" s="23">
        <f t="shared" ca="1" si="142"/>
        <v>-8.0147697654213701E-2</v>
      </c>
      <c r="CR131" s="23">
        <f t="shared" ca="1" si="143"/>
        <v>-5.3431798436142465E-2</v>
      </c>
      <c r="CS131" s="23">
        <f t="shared" ca="1" si="144"/>
        <v>-3.205907906168548E-2</v>
      </c>
      <c r="CT131" s="23">
        <f t="shared" ca="1" si="145"/>
        <v>-1.7810599478714155E-2</v>
      </c>
      <c r="CU131" s="23">
        <f t="shared" ca="1" si="146"/>
        <v>-9.4291409004957291E-3</v>
      </c>
      <c r="CV131" s="23">
        <f t="shared" ca="1" si="147"/>
        <v>-4.8574362214674968E-3</v>
      </c>
      <c r="CW131" s="23">
        <f t="shared" ca="1" si="148"/>
        <v>-2.4660830047450368E-3</v>
      </c>
      <c r="CX131" s="24">
        <f t="shared" ca="1" si="149"/>
        <v>2.4660830047450368E-3</v>
      </c>
      <c r="CY131" s="24">
        <f t="shared" ca="1" si="150"/>
        <v>4.8574362214674968E-3</v>
      </c>
      <c r="CZ131" s="24">
        <f t="shared" ca="1" si="151"/>
        <v>9.4291409004957291E-3</v>
      </c>
      <c r="DA131" s="24">
        <f t="shared" ca="1" si="152"/>
        <v>1.7810599478714155E-2</v>
      </c>
      <c r="DB131" s="24">
        <f t="shared" ca="1" si="153"/>
        <v>3.205907906168548E-2</v>
      </c>
      <c r="DC131" s="24">
        <f t="shared" ca="1" si="154"/>
        <v>5.3431798436142465E-2</v>
      </c>
      <c r="DD131" s="24">
        <f t="shared" ca="1" si="155"/>
        <v>8.0147697654213701E-2</v>
      </c>
      <c r="DF131" s="19" cm="1">
        <f t="array" aca="1" ref="DF131" ca="1">MAX(_xlfn._xlws.FILTER(CQ131:DD131,CQ131:DD131&lt;BJ131))</f>
        <v>5.3431798436142465E-2</v>
      </c>
      <c r="DG131" s="19" cm="1">
        <f t="array" aca="1" ref="DG131" ca="1">MIN(_xlfn._xlws.FILTER(CQ131:DD131,CQ131:DD131&gt;BJ131))</f>
        <v>8.0147697654213701E-2</v>
      </c>
      <c r="DH131" s="2" cm="1">
        <f t="array" aca="1" ref="DH131" ca="1">_FV(EE131,"Fechamento anterior",TRUE)</f>
        <v>25.08</v>
      </c>
      <c r="DI131" s="36">
        <f t="shared" ca="1" si="115"/>
        <v>0.14914225697281347</v>
      </c>
      <c r="DJ131" s="18">
        <f t="shared" ca="1" si="156"/>
        <v>26.42006950477845</v>
      </c>
      <c r="DK131" s="18">
        <f t="shared" ca="1" si="157"/>
        <v>27.090104257167678</v>
      </c>
      <c r="DL131" s="9"/>
      <c r="DM131" s="9"/>
      <c r="DN131" s="9"/>
      <c r="DO131" s="9"/>
      <c r="DP131" s="79">
        <v>3.1800240495892663E-3</v>
      </c>
      <c r="DQ131" s="79">
        <v>2.3078746503579418E-2</v>
      </c>
      <c r="DR131" s="79">
        <v>9.0504888249331034E-3</v>
      </c>
      <c r="DS131" s="79">
        <f t="shared" ca="1" si="116"/>
        <v>2.6715899218071236E-2</v>
      </c>
      <c r="DT131" s="47"/>
      <c r="DU131" s="43">
        <f t="shared" si="117"/>
        <v>0.8137259981099294</v>
      </c>
      <c r="DV131" s="83">
        <f t="shared" ca="1" si="118"/>
        <v>1.2541</v>
      </c>
      <c r="DW131" s="83">
        <f t="shared" ca="1" si="119"/>
        <v>-4.9135999999999997</v>
      </c>
      <c r="DX131" s="83">
        <f t="shared" ca="1" si="120"/>
        <v>6.1677</v>
      </c>
      <c r="DY131" s="67"/>
      <c r="DZ131" s="67"/>
      <c r="EA131" s="85"/>
      <c r="EB131" s="44">
        <v>2398700</v>
      </c>
      <c r="EC131" s="44" cm="1">
        <f t="array" aca="1" ref="EC131" ca="1">_FV(EE131,"Volume")</f>
        <v>7529200</v>
      </c>
      <c r="EE131" s="2" t="e" vm="130">
        <v>#VALUE!</v>
      </c>
      <c r="EG131" s="10" cm="1">
        <f t="array" aca="1" ref="EG131" ca="1">_FV(EE131,"Ações em circulação",TRUE)</f>
        <v>380253100</v>
      </c>
      <c r="EH131" s="21">
        <f>VLOOKUP(BH131,Fundamentus!A:U,5,FALSE)</f>
        <v>1.1240000000000001</v>
      </c>
      <c r="EI131" s="2">
        <f t="shared" ca="1" si="121"/>
        <v>8971808017.7935944</v>
      </c>
      <c r="EJ131" s="20">
        <v>1418321734.9709964</v>
      </c>
      <c r="EK131" s="20">
        <f t="shared" ca="1" si="122"/>
        <v>1548534063.8711743</v>
      </c>
      <c r="EM131" s="40" t="str">
        <f>IF(VLOOKUP(BH131,Fundamentus!A:U,3,FALSE)&lt;15,"Bom",IF(VLOOKUP(BH131,Fundamentus!A:U,3,FALSE)&gt;15,"Ruim","n/a"))</f>
        <v>Bom</v>
      </c>
      <c r="EN131" s="36" t="str">
        <f>IF(VLOOKUP(BH131,Fundamentus!A:U,4,FALSE)&lt;1,"Baixo",IF(VLOOKUP(BH131,Fundamentus!A:U,4,FALSE)&lt;1.5,"Moderado",IF(VLOOKUP(BH131,Fundamentus!A:U,4,FALSE)&gt;1.5,"Alto","n/a")))</f>
        <v>Moderado</v>
      </c>
      <c r="EO131" s="20" t="str">
        <f>IF(VLOOKUP(BH131,Fundamentus!A:U,8,FALSE)&lt;0,"Risco elevado",IF(VLOOKUP(BH131,Fundamentus!A:U,8,FALSE)&lt;1,"Saudável",IF(VLOOKUP(BH131,Fundamentus!A:U,8,FALSE)&lt;3,"Estável",IF(VLOOKUP(BH131,Fundamentus!A:U,8,FALSE)&gt;3,"Alerta","n/a"))))</f>
        <v>Alerta</v>
      </c>
      <c r="EP131" s="36" t="str">
        <f t="shared" si="123"/>
        <v>Bom</v>
      </c>
      <c r="EQ131" s="20" t="str">
        <f>IF(VLOOKUP(BH131,Fundamentus!A:U,12,FALSE)&lt;2,"Subvalorizada",IF(VLOOKUP(BH131,Fundamentus!A:U,12,FALSE)&lt;6,"Muita barata",IF(VLOOKUP(BH131,Fundamentus!A:U,12,FALSE)&lt;6,"Barata",IF(VLOOKUP(BH131,Fundamentus!A:U,12,FALSE)&lt;8,"Atrativa",IF(VLOOKUP(BH131,Fundamentus!A:U,12,FALSE)&gt;8,"Supervalorizada","n/a")))))</f>
        <v>Muita barata</v>
      </c>
      <c r="ES131" s="20" t="str">
        <f>IF(VLOOKUP(BH131,Fundamentus!A:U,17,FALSE)&lt;0.1,"Fraco retorno",IF(VLOOKUP(BH131,Fundamentus!A:U,17,FALSE)&gt;0.1,"Bom retorno","n/a"))</f>
        <v>Bom retorno</v>
      </c>
      <c r="ET131" s="20" t="str">
        <f>IF(VLOOKUP(BH131,Fundamentus!A:U,16,FALSE)&lt;0.1,"Ineficiente",IF(VLOOKUP(BH131,Fundamentus!A:U,16,FALSE)&gt;0.1,"Eficiente","n/a"))</f>
        <v>Eficiente</v>
      </c>
      <c r="EU131" s="41" t="str">
        <f>IF(VLOOKUP(BH131,Fundamentus!A:U,16,FALSE)&lt;0.1,"Oper. Ineficiente",IF(VLOOKUP(BH131,Fundamentus!A:U,16,FALSE)&gt;0.1,"Oper.Eficiente","n/a"))</f>
        <v>Oper.Eficiente</v>
      </c>
      <c r="EV131" s="42">
        <f>VLOOKUP(BH131,Fundamentus!A:U,14,FALSE)</f>
        <v>0.1726</v>
      </c>
      <c r="EW131" s="20" t="str">
        <f>IF(VLOOKUP(BH131,Fundamentus!A:U,21,FALSE)&lt;0,"Negativo",IF(VLOOKUP(BH131,Fundamentus!A:U,21,FALSE)&lt;0.05,"Fraco",IF(VLOOKUP(BH131,Fundamentus!A:U,21,FALSE)&lt;0.1,"Bom",IF(VLOOKUP(BH131,Fundamentus!A:U,21,FALSE)&gt;0.1,"Muito bom","n/a"))))</f>
        <v>Muito bom</v>
      </c>
      <c r="EY131" s="37" t="str">
        <f>IF(VLOOKUP(BH131,Fundamentus!A:U,15,FALSE)&gt;1,"Bom",IF(VLOOKUP(BH131,Fundamentus!A:U,15,FALSE)&lt;1,"Ruim","n/a"))</f>
        <v>Bom</v>
      </c>
      <c r="EZ131" s="20" t="str">
        <f>IF(VLOOKUP(BH131,Fundamentus!A:U,20,FALSE)&lt;0.5,"Baixa",IF(VLOOKUP(BH131,Fundamentus!A:U,20,FALSE)&lt;1,"Moderada",IF(VLOOKUP(BH131,Fundamentus!A:U,20,FALSE)&lt;2,"Alerta",IF(VLOOKUP(BH131,Fundamentus!A:U,20,FALSE)&gt;2,"Alta","n/a"))))</f>
        <v>Moderada</v>
      </c>
      <c r="FA131" s="10"/>
    </row>
    <row r="132" spans="1:157" s="2" customFormat="1" ht="11.25" hidden="1" x14ac:dyDescent="0.2">
      <c r="A132" s="4">
        <v>49.88</v>
      </c>
      <c r="B132" s="4">
        <v>49.55</v>
      </c>
      <c r="C132" s="4">
        <v>48.4</v>
      </c>
      <c r="D132" s="4">
        <v>45.06</v>
      </c>
      <c r="E132" s="4">
        <v>42.7</v>
      </c>
      <c r="F132" s="4">
        <v>42.75</v>
      </c>
      <c r="G132" s="4">
        <v>40.42</v>
      </c>
      <c r="H132" s="4">
        <v>41.7</v>
      </c>
      <c r="I132" s="4">
        <v>41.76</v>
      </c>
      <c r="J132" s="4">
        <v>43.74</v>
      </c>
      <c r="K132" s="4">
        <v>46.7</v>
      </c>
      <c r="L132" s="4">
        <v>43.41</v>
      </c>
      <c r="M132" s="4">
        <v>43.93</v>
      </c>
      <c r="N132" s="4">
        <v>45.08</v>
      </c>
      <c r="O132" s="4">
        <v>48.85</v>
      </c>
      <c r="P132" s="4">
        <v>42.6</v>
      </c>
      <c r="Q132" s="4">
        <v>42.3</v>
      </c>
      <c r="R132" s="4">
        <v>41.37</v>
      </c>
      <c r="S132" s="4">
        <v>42.02</v>
      </c>
      <c r="T132" s="4">
        <v>44.2</v>
      </c>
      <c r="U132" s="4">
        <v>43</v>
      </c>
      <c r="V132" s="4">
        <v>41.37</v>
      </c>
      <c r="W132" s="4">
        <v>41.9</v>
      </c>
      <c r="X132" s="4">
        <v>41.58</v>
      </c>
      <c r="Y132" s="4">
        <v>42.16</v>
      </c>
      <c r="Z132" s="4">
        <v>42.13</v>
      </c>
      <c r="AA132" s="4">
        <v>40.76</v>
      </c>
      <c r="AB132" s="4">
        <v>40.9</v>
      </c>
      <c r="AC132" s="4">
        <v>44.73</v>
      </c>
      <c r="AD132" s="4">
        <v>44.2</v>
      </c>
      <c r="AE132" s="4">
        <v>37.700000000000003</v>
      </c>
      <c r="AF132" s="4">
        <v>34.82</v>
      </c>
      <c r="AG132" s="4">
        <v>32.229999999999997</v>
      </c>
      <c r="AH132" s="4">
        <v>32.880000000000003</v>
      </c>
      <c r="AI132" s="4">
        <v>32.5</v>
      </c>
      <c r="AJ132" s="4">
        <v>32.28</v>
      </c>
      <c r="AK132" s="4">
        <v>28.87</v>
      </c>
      <c r="AL132" s="4">
        <v>30.44</v>
      </c>
      <c r="AM132" s="4">
        <v>30.32</v>
      </c>
      <c r="AN132" s="4">
        <v>30.87</v>
      </c>
      <c r="AO132" s="4">
        <v>29.94</v>
      </c>
      <c r="AP132" s="4">
        <v>31.61</v>
      </c>
      <c r="AQ132" s="4">
        <v>29.24</v>
      </c>
      <c r="AR132" s="4">
        <v>28.1</v>
      </c>
      <c r="AS132" s="4">
        <v>29.82</v>
      </c>
      <c r="AT132" s="4">
        <v>32.85</v>
      </c>
      <c r="AU132" s="4">
        <v>33.344999999999999</v>
      </c>
      <c r="AV132" s="4">
        <v>34.479999999999997</v>
      </c>
      <c r="AW132" s="4">
        <v>36.1</v>
      </c>
      <c r="AX132" s="4">
        <v>38.57</v>
      </c>
      <c r="AY132" s="12">
        <v>40.25</v>
      </c>
      <c r="AZ132" s="12">
        <v>42.81</v>
      </c>
      <c r="BA132" s="12">
        <v>42.96</v>
      </c>
      <c r="BB132" s="18">
        <v>43.9</v>
      </c>
      <c r="BC132" s="63">
        <v>40.75</v>
      </c>
      <c r="BD132" s="63">
        <v>40.590000000000003</v>
      </c>
      <c r="BE132" s="63">
        <v>42.96</v>
      </c>
      <c r="BF132" s="63">
        <v>43.8</v>
      </c>
      <c r="BG132" s="91" cm="1">
        <f t="array" aca="1" ref="BG132" ca="1">_FV(EE132,"Preço")</f>
        <v>44.02</v>
      </c>
      <c r="BH132" s="93" t="s">
        <v>129</v>
      </c>
      <c r="BI132" s="32" cm="1">
        <f t="array" aca="1" ref="BI132" ca="1">_FV(EE132,"Beta")</f>
        <v>1.2496</v>
      </c>
      <c r="BJ132" s="96" cm="1">
        <f t="array" aca="1" ref="BJ132" ca="1">_FV(EE132,"Variação (%)",TRUE)</f>
        <v>-9.8969999999999995E-3</v>
      </c>
      <c r="BK132" s="49"/>
      <c r="BL132" s="49"/>
      <c r="BN132" s="32"/>
      <c r="BO132" s="20" cm="1">
        <f t="array" aca="1" ref="BO132" ca="1">_FV(EE132,"Baixo")</f>
        <v>43.71</v>
      </c>
      <c r="BP132" s="20" cm="1">
        <f t="array" aca="1" ref="BP132" ca="1">_FV(EE132,"Alto")</f>
        <v>44.52</v>
      </c>
      <c r="BQ132" s="32"/>
      <c r="BR132" s="74">
        <f ca="1">SQRT(22.5*(BG132/VLOOKUP(BH132,Fundamentus!A:U,3,FALSE))*(BG132/VLOOKUP(BH132,Fundamentus!A:U,4,FALSE)))</f>
        <v>31.115502701360175</v>
      </c>
      <c r="BT132" s="73">
        <f t="shared" ca="1" si="99"/>
        <v>5.0228310502284474E-3</v>
      </c>
      <c r="BU132" s="36">
        <f t="shared" si="100"/>
        <v>-0.13873295910184447</v>
      </c>
      <c r="BV132" s="8"/>
      <c r="BW132" s="72">
        <f t="shared" si="101"/>
        <v>28.1</v>
      </c>
      <c r="BX132" s="72">
        <f t="shared" si="102"/>
        <v>39.554051724137935</v>
      </c>
      <c r="BY132" s="72">
        <f t="shared" si="103"/>
        <v>49.88</v>
      </c>
      <c r="BZ132" s="17"/>
      <c r="CA132" s="17"/>
      <c r="CB132" s="43">
        <f t="shared" si="104"/>
        <v>42.016167595619073</v>
      </c>
      <c r="CC132" s="18">
        <f t="shared" si="105"/>
        <v>44.792802249296074</v>
      </c>
      <c r="CD132" s="43">
        <f t="shared" si="106"/>
        <v>47.569436902973074</v>
      </c>
      <c r="CE132" s="98">
        <f t="shared" ca="1" si="107"/>
        <v>-0.27832334667172559</v>
      </c>
      <c r="CF132" s="17"/>
      <c r="CG132" s="20">
        <f t="shared" si="108"/>
        <v>9.5266666666666637</v>
      </c>
      <c r="CH132" s="20">
        <f t="shared" si="109"/>
        <v>18.813333333333333</v>
      </c>
      <c r="CI132" s="20">
        <f t="shared" si="110"/>
        <v>31.306666666666665</v>
      </c>
      <c r="CJ132" s="49">
        <f t="shared" si="111"/>
        <v>40.593333333333334</v>
      </c>
      <c r="CK132" s="20">
        <f t="shared" si="112"/>
        <v>53.086666666666666</v>
      </c>
      <c r="CL132" s="20">
        <f t="shared" si="113"/>
        <v>62.373333333333335</v>
      </c>
      <c r="CM132" s="20">
        <f t="shared" si="114"/>
        <v>74.866666666666674</v>
      </c>
      <c r="CN132" s="2" cm="1">
        <f t="array" aca="1" ref="CN132" ca="1">MAX(_xlfn._xlws.FILTER(CG132:CM132,CG132:CM132&lt;BG132))</f>
        <v>40.593333333333334</v>
      </c>
      <c r="CO132" s="2" cm="1">
        <f t="array" aca="1" ref="CO132" ca="1">MIN(_xlfn._xlws.FILTER($CG132:$CM132,$CG132:$CM132&gt;BG132))</f>
        <v>53.086666666666666</v>
      </c>
      <c r="CP132" s="19">
        <f t="shared" ca="1" si="141"/>
        <v>0.30776810642141572</v>
      </c>
      <c r="CQ132" s="23">
        <f t="shared" ca="1" si="142"/>
        <v>-0.15388405321070786</v>
      </c>
      <c r="CR132" s="23">
        <f t="shared" ca="1" si="143"/>
        <v>-0.10258936880713858</v>
      </c>
      <c r="CS132" s="23">
        <f t="shared" ca="1" si="144"/>
        <v>-6.1553621284283142E-2</v>
      </c>
      <c r="CT132" s="23">
        <f t="shared" ca="1" si="145"/>
        <v>-3.4196456269046188E-2</v>
      </c>
      <c r="CU132" s="23">
        <f t="shared" ca="1" si="146"/>
        <v>-1.8104006260083277E-2</v>
      </c>
      <c r="CV132" s="23">
        <f t="shared" ca="1" si="147"/>
        <v>-9.3263062551944154E-3</v>
      </c>
      <c r="CW132" s="23">
        <f t="shared" ca="1" si="148"/>
        <v>-4.7348939449448572E-3</v>
      </c>
      <c r="CX132" s="24">
        <f t="shared" ca="1" si="149"/>
        <v>4.7348939449448572E-3</v>
      </c>
      <c r="CY132" s="24">
        <f t="shared" ca="1" si="150"/>
        <v>9.3263062551944154E-3</v>
      </c>
      <c r="CZ132" s="24">
        <f t="shared" ca="1" si="151"/>
        <v>1.8104006260083277E-2</v>
      </c>
      <c r="DA132" s="24">
        <f t="shared" ca="1" si="152"/>
        <v>3.4196456269046188E-2</v>
      </c>
      <c r="DB132" s="24">
        <f t="shared" ca="1" si="153"/>
        <v>6.1553621284283142E-2</v>
      </c>
      <c r="DC132" s="24">
        <f t="shared" ca="1" si="154"/>
        <v>0.10258936880713858</v>
      </c>
      <c r="DD132" s="24">
        <f t="shared" ca="1" si="155"/>
        <v>0.15388405321070786</v>
      </c>
      <c r="DF132" s="19" cm="1">
        <f t="array" aca="1" ref="DF132" ca="1">MAX(_xlfn._xlws.FILTER(CQ132:DD132,CQ132:DD132&lt;BJ132))</f>
        <v>-1.8104006260083277E-2</v>
      </c>
      <c r="DG132" s="19" cm="1">
        <f t="array" aca="1" ref="DG132" ca="1">MIN(_xlfn._xlws.FILTER(CQ132:DD132,CQ132:DD132&gt;BJ132))</f>
        <v>-9.3263062551944154E-3</v>
      </c>
      <c r="DH132" s="2" cm="1">
        <f t="array" aca="1" ref="DH132" ca="1">_FV(EE132,"Fechamento anterior",TRUE)</f>
        <v>44.46</v>
      </c>
      <c r="DI132" s="36">
        <f t="shared" ca="1" si="115"/>
        <v>0.93503651790176689</v>
      </c>
      <c r="DJ132" s="18">
        <f t="shared" ca="1" si="156"/>
        <v>43.655095881676701</v>
      </c>
      <c r="DK132" s="18">
        <f t="shared" ca="1" si="157"/>
        <v>44.045352423894059</v>
      </c>
      <c r="DL132" s="9"/>
      <c r="DM132" s="9"/>
      <c r="DN132" s="9"/>
      <c r="DO132" s="9"/>
      <c r="DP132" s="79">
        <v>1.825037707390648E-2</v>
      </c>
      <c r="DQ132" s="79">
        <v>9.7165097855190889E-3</v>
      </c>
      <c r="DR132" s="79">
        <v>5.0824820416561379E-3</v>
      </c>
      <c r="DS132" s="79">
        <f t="shared" ca="1" si="116"/>
        <v>8.7777000048888613E-3</v>
      </c>
      <c r="DT132" s="47"/>
      <c r="DU132" s="43">
        <f t="shared" si="117"/>
        <v>1.388317326838499</v>
      </c>
      <c r="DV132" s="83">
        <f t="shared" ca="1" si="118"/>
        <v>1.6757</v>
      </c>
      <c r="DW132" s="83">
        <f t="shared" ca="1" si="119"/>
        <v>2.2393000000000001</v>
      </c>
      <c r="DX132" s="83">
        <f t="shared" ca="1" si="120"/>
        <v>-0.5636000000000001</v>
      </c>
      <c r="DY132" s="67"/>
      <c r="DZ132" s="67"/>
      <c r="EA132" s="85"/>
      <c r="EB132" s="44">
        <v>16558500</v>
      </c>
      <c r="EC132" s="44" cm="1">
        <f t="array" aca="1" ref="EC132" ca="1">_FV(EE132,"Volume")</f>
        <v>5326400</v>
      </c>
      <c r="EE132" s="2" t="e" vm="131">
        <v>#VALUE!</v>
      </c>
      <c r="EG132" s="10" cm="1">
        <f t="array" aca="1" ref="EG132" ca="1">_FV(EE132,"Ações em circulação",TRUE)</f>
        <v>1082621000</v>
      </c>
      <c r="EH132" s="21">
        <f>VLOOKUP(BH132,Fundamentus!A:U,5,FALSE)</f>
        <v>1.236</v>
      </c>
      <c r="EI132" s="2">
        <f t="shared" ca="1" si="121"/>
        <v>38557424288.025894</v>
      </c>
      <c r="EJ132" s="20">
        <v>1902890347.961165</v>
      </c>
      <c r="EK132" s="20">
        <f t="shared" ca="1" si="122"/>
        <v>1912448244.6860843</v>
      </c>
      <c r="EM132" s="40" t="str">
        <f>IF(VLOOKUP(BH132,Fundamentus!A:U,3,FALSE)&lt;15,"Bom",IF(VLOOKUP(BH132,Fundamentus!A:U,3,FALSE)&gt;15,"Ruim","n/a"))</f>
        <v>Ruim</v>
      </c>
      <c r="EN132" s="36" t="str">
        <f>IF(VLOOKUP(BH132,Fundamentus!A:U,4,FALSE)&lt;1,"Baixo",IF(VLOOKUP(BH132,Fundamentus!A:U,4,FALSE)&lt;1.5,"Moderado",IF(VLOOKUP(BH132,Fundamentus!A:U,4,FALSE)&gt;1.5,"Alto","n/a")))</f>
        <v>Alto</v>
      </c>
      <c r="EO132" s="20" t="str">
        <f>IF(VLOOKUP(BH132,Fundamentus!A:U,8,FALSE)&lt;0,"Risco elevado",IF(VLOOKUP(BH132,Fundamentus!A:U,8,FALSE)&lt;1,"Saudável",IF(VLOOKUP(BH132,Fundamentus!A:U,8,FALSE)&lt;3,"Estável",IF(VLOOKUP(BH132,Fundamentus!A:U,8,FALSE)&gt;3,"Alerta","n/a"))))</f>
        <v>Alerta</v>
      </c>
      <c r="EP132" s="36" t="str">
        <f t="shared" si="123"/>
        <v>Bom</v>
      </c>
      <c r="EQ132" s="20" t="str">
        <f>IF(VLOOKUP(BH132,Fundamentus!A:U,12,FALSE)&lt;2,"Subvalorizada",IF(VLOOKUP(BH132,Fundamentus!A:U,12,FALSE)&lt;6,"Muita barata",IF(VLOOKUP(BH132,Fundamentus!A:U,12,FALSE)&lt;6,"Barata",IF(VLOOKUP(BH132,Fundamentus!A:U,12,FALSE)&lt;8,"Atrativa",IF(VLOOKUP(BH132,Fundamentus!A:U,12,FALSE)&gt;8,"Supervalorizada","n/a")))))</f>
        <v>Atrativa</v>
      </c>
      <c r="ES132" s="20" t="str">
        <f>IF(VLOOKUP(BH132,Fundamentus!A:U,17,FALSE)&lt;0.1,"Fraco retorno",IF(VLOOKUP(BH132,Fundamentus!A:U,17,FALSE)&gt;0.1,"Bom retorno","n/a"))</f>
        <v>Fraco retorno</v>
      </c>
      <c r="ET132" s="20" t="str">
        <f>IF(VLOOKUP(BH132,Fundamentus!A:U,16,FALSE)&lt;0.1,"Ineficiente",IF(VLOOKUP(BH132,Fundamentus!A:U,16,FALSE)&gt;0.1,"Eficiente","n/a"))</f>
        <v>Ineficiente</v>
      </c>
      <c r="EU132" s="41" t="str">
        <f>IF(VLOOKUP(BH132,Fundamentus!A:U,16,FALSE)&lt;0.1,"Oper. Ineficiente",IF(VLOOKUP(BH132,Fundamentus!A:U,16,FALSE)&gt;0.1,"Oper.Eficiente","n/a"))</f>
        <v>Oper. Ineficiente</v>
      </c>
      <c r="EV132" s="42">
        <f>VLOOKUP(BH132,Fundamentus!A:U,14,FALSE)</f>
        <v>4.9599999999999998E-2</v>
      </c>
      <c r="EW132" s="20" t="str">
        <f>IF(VLOOKUP(BH132,Fundamentus!A:U,21,FALSE)&lt;0,"Negativo",IF(VLOOKUP(BH132,Fundamentus!A:U,21,FALSE)&lt;0.05,"Fraco",IF(VLOOKUP(BH132,Fundamentus!A:U,21,FALSE)&lt;0.1,"Bom",IF(VLOOKUP(BH132,Fundamentus!A:U,21,FALSE)&gt;0.1,"Muito bom","n/a"))))</f>
        <v>Muito bom</v>
      </c>
      <c r="EY132" s="37" t="str">
        <f>IF(VLOOKUP(BH132,Fundamentus!A:U,15,FALSE)&gt;1,"Bom",IF(VLOOKUP(BH132,Fundamentus!A:U,15,FALSE)&lt;1,"Ruim","n/a"))</f>
        <v>Bom</v>
      </c>
      <c r="EZ132" s="20" t="str">
        <f>IF(VLOOKUP(BH132,Fundamentus!A:U,20,FALSE)&lt;0.5,"Baixa",IF(VLOOKUP(BH132,Fundamentus!A:U,20,FALSE)&lt;1,"Moderada",IF(VLOOKUP(BH132,Fundamentus!A:U,20,FALSE)&lt;2,"Alerta",IF(VLOOKUP(BH132,Fundamentus!A:U,20,FALSE)&gt;2,"Alta","n/a"))))</f>
        <v>Alerta</v>
      </c>
      <c r="FA132" s="10"/>
    </row>
    <row r="133" spans="1:157" s="2" customFormat="1" ht="11.25" hidden="1" x14ac:dyDescent="0.2">
      <c r="A133" s="4">
        <v>11.2</v>
      </c>
      <c r="B133" s="4">
        <v>10.39</v>
      </c>
      <c r="C133" s="4">
        <v>9.93</v>
      </c>
      <c r="D133" s="4">
        <v>9.9700000000000006</v>
      </c>
      <c r="E133" s="4">
        <v>9.51</v>
      </c>
      <c r="F133" s="4">
        <v>9.35</v>
      </c>
      <c r="G133" s="4">
        <v>9.33</v>
      </c>
      <c r="H133" s="4">
        <v>10.15</v>
      </c>
      <c r="I133" s="4">
        <v>11</v>
      </c>
      <c r="J133" s="4">
        <v>11.75</v>
      </c>
      <c r="K133" s="4">
        <v>12.28</v>
      </c>
      <c r="L133" s="4">
        <v>11.73</v>
      </c>
      <c r="M133" s="4">
        <v>10.98</v>
      </c>
      <c r="N133" s="4">
        <v>10.67</v>
      </c>
      <c r="O133" s="4">
        <v>11.18</v>
      </c>
      <c r="P133" s="4">
        <v>10.91</v>
      </c>
      <c r="Q133" s="4">
        <v>11.28</v>
      </c>
      <c r="R133" s="4">
        <v>11.01</v>
      </c>
      <c r="S133" s="4">
        <v>10.94</v>
      </c>
      <c r="T133" s="4">
        <v>11.14</v>
      </c>
      <c r="U133" s="4">
        <v>11.1</v>
      </c>
      <c r="V133" s="4">
        <v>10.9</v>
      </c>
      <c r="W133" s="4">
        <v>10.6</v>
      </c>
      <c r="X133" s="4">
        <v>10.73</v>
      </c>
      <c r="Y133" s="4">
        <v>10.89</v>
      </c>
      <c r="Z133" s="4">
        <v>10.93</v>
      </c>
      <c r="AA133" s="4">
        <v>10.4</v>
      </c>
      <c r="AB133" s="4">
        <v>10.47</v>
      </c>
      <c r="AC133" s="4">
        <v>10.53</v>
      </c>
      <c r="AD133" s="4">
        <v>10.62</v>
      </c>
      <c r="AE133" s="4">
        <v>10.42</v>
      </c>
      <c r="AF133" s="4">
        <v>10.210000000000001</v>
      </c>
      <c r="AG133" s="4">
        <v>10.23</v>
      </c>
      <c r="AH133" s="4">
        <v>9.77</v>
      </c>
      <c r="AI133" s="4">
        <v>9.89</v>
      </c>
      <c r="AJ133" s="4">
        <v>9.6999999999999993</v>
      </c>
      <c r="AK133" s="4">
        <v>8.9</v>
      </c>
      <c r="AL133" s="4">
        <v>8.1199999999999992</v>
      </c>
      <c r="AM133" s="4">
        <v>8.83</v>
      </c>
      <c r="AN133" s="4">
        <v>9.11</v>
      </c>
      <c r="AO133" s="4">
        <v>8.58</v>
      </c>
      <c r="AP133" s="4">
        <v>9.4499999999999993</v>
      </c>
      <c r="AQ133" s="4">
        <v>9.26</v>
      </c>
      <c r="AR133" s="4">
        <v>8.9700000000000006</v>
      </c>
      <c r="AS133" s="4">
        <v>9.1999999999999993</v>
      </c>
      <c r="AT133" s="4">
        <v>9.34</v>
      </c>
      <c r="AU133" s="4">
        <v>9.19</v>
      </c>
      <c r="AV133" s="4">
        <v>8.68</v>
      </c>
      <c r="AW133" s="4">
        <v>8.36</v>
      </c>
      <c r="AX133" s="4">
        <v>7.98</v>
      </c>
      <c r="AY133" s="12">
        <v>8.56</v>
      </c>
      <c r="AZ133" s="12">
        <v>9.2100000000000009</v>
      </c>
      <c r="BA133" s="12">
        <v>8.9700000000000006</v>
      </c>
      <c r="BB133" s="18">
        <v>8.52</v>
      </c>
      <c r="BC133" s="63">
        <v>8.2899999999999991</v>
      </c>
      <c r="BD133" s="63">
        <v>8.25</v>
      </c>
      <c r="BE133" s="63">
        <v>9.07</v>
      </c>
      <c r="BF133" s="63">
        <v>8.99</v>
      </c>
      <c r="BG133" s="91" cm="1">
        <f t="array" aca="1" ref="BG133" ca="1">_FV(EE133,"Preço")</f>
        <v>8.65</v>
      </c>
      <c r="BH133" s="93" t="s">
        <v>130</v>
      </c>
      <c r="BI133" s="32" cm="1">
        <f t="array" aca="1" ref="BI133" ca="1">_FV(EE133,"Beta")</f>
        <v>0.86199999999999999</v>
      </c>
      <c r="BJ133" s="96" cm="1">
        <f t="array" aca="1" ref="BJ133" ca="1">_FV(EE133,"Variação (%)",TRUE)</f>
        <v>-2.9180999999999999E-2</v>
      </c>
      <c r="BK133" s="49"/>
      <c r="BL133" s="49"/>
      <c r="BN133" s="32"/>
      <c r="BO133" s="20" cm="1">
        <f t="array" aca="1" ref="BO133" ca="1">_FV(EE133,"Baixo")</f>
        <v>8.6199999999999992</v>
      </c>
      <c r="BP133" s="20" cm="1">
        <f t="array" aca="1" ref="BP133" ca="1">_FV(EE133,"Alto")</f>
        <v>8.85</v>
      </c>
      <c r="BQ133" s="32"/>
      <c r="BR133" s="74">
        <f ca="1">SQRT(22.5*(BG133/VLOOKUP(BH133,Fundamentus!A:U,3,FALSE))*(BG133/VLOOKUP(BH133,Fundamentus!A:U,4,FALSE)))</f>
        <v>13.826291115450948</v>
      </c>
      <c r="BT133" s="73">
        <f t="shared" ref="BT133:BT196" ca="1" si="158">(BG133 - BF133) / BF133</f>
        <v>-3.7819799777530576E-2</v>
      </c>
      <c r="BU133" s="36">
        <f t="shared" ref="BU133:BU196" si="159">(BE133 - A133) / A133</f>
        <v>-0.19017857142857136</v>
      </c>
      <c r="BV133" s="8"/>
      <c r="BW133" s="72">
        <f t="shared" ref="BW133:BW196" si="160">MIN(A133:BF133)</f>
        <v>7.98</v>
      </c>
      <c r="BX133" s="72">
        <f t="shared" ref="BX133:BX196" si="161">AVERAGE(A133:BF133)</f>
        <v>9.929655172413792</v>
      </c>
      <c r="BY133" s="72">
        <f t="shared" ref="BY133:BY196" si="162">MAX(A133:BF133)</f>
        <v>12.28</v>
      </c>
      <c r="BZ133" s="17"/>
      <c r="CA133" s="17"/>
      <c r="CB133" s="43">
        <f t="shared" ref="CB133:CB196" si="163">CC133-DU133*2</f>
        <v>8.5913842078881917</v>
      </c>
      <c r="CC133" s="18">
        <f t="shared" ref="CC133:CC196" si="164">FORECAST("13/06/2025", BC133:BF133, $BC$4:$BF$4)</f>
        <v>9.3540112464856975</v>
      </c>
      <c r="CD133" s="43">
        <f t="shared" ref="CD133:CD196" si="165">CC133+DU133*2</f>
        <v>10.116638285083203</v>
      </c>
      <c r="CE133" s="98">
        <f t="shared" ref="CE133:CE196" ca="1" si="166">(BG133-CC133)/(CC133-CB133)</f>
        <v>-0.92313963556864587</v>
      </c>
      <c r="CF133" s="17"/>
      <c r="CG133" s="20">
        <f t="shared" ref="CG133:CG196" si="167">BW133-2*(BY133-CJ133)</f>
        <v>2.9200000000000017</v>
      </c>
      <c r="CH133" s="20">
        <f t="shared" ref="CH133:CH196" si="168">CJ133-(BY133-BW133)</f>
        <v>5.4500000000000011</v>
      </c>
      <c r="CI133" s="20">
        <f t="shared" ref="CI133:CI196" si="169">2*CJ133-BY133</f>
        <v>7.2200000000000006</v>
      </c>
      <c r="CJ133" s="49">
        <f t="shared" ref="CJ133:CJ196" si="170">(BY133+BW133+BF133)/3</f>
        <v>9.75</v>
      </c>
      <c r="CK133" s="20">
        <f t="shared" ref="CK133:CK196" si="171">2*CJ133-BW133</f>
        <v>11.52</v>
      </c>
      <c r="CL133" s="20">
        <f t="shared" ref="CL133:CL196" si="172">CJ133+(BY133-BW133)</f>
        <v>14.049999999999999</v>
      </c>
      <c r="CM133" s="20">
        <f t="shared" ref="CM133:CM196" si="173">BY133+2*(CJ133-BW133)</f>
        <v>15.819999999999999</v>
      </c>
      <c r="CN133" s="2" cm="1">
        <f t="array" aca="1" ref="CN133" ca="1">MAX(_xlfn._xlws.FILTER(CG133:CM133,CG133:CM133&lt;BG133))</f>
        <v>7.2200000000000006</v>
      </c>
      <c r="CO133" s="2" cm="1">
        <f t="array" aca="1" ref="CO133" ca="1">MIN(_xlfn._xlws.FILTER($CG133:$CM133,$CG133:$CM133&gt;BG133))</f>
        <v>9.75</v>
      </c>
      <c r="CP133" s="19">
        <f t="shared" ca="1" si="141"/>
        <v>0.35041551246537384</v>
      </c>
      <c r="CQ133" s="23">
        <f t="shared" ca="1" si="142"/>
        <v>-0.17520775623268692</v>
      </c>
      <c r="CR133" s="23">
        <f t="shared" ca="1" si="143"/>
        <v>-0.11680517082179127</v>
      </c>
      <c r="CS133" s="23">
        <f t="shared" ca="1" si="144"/>
        <v>-7.008310249307477E-2</v>
      </c>
      <c r="CT133" s="23">
        <f t="shared" ca="1" si="145"/>
        <v>-3.8935056940597096E-2</v>
      </c>
      <c r="CU133" s="23">
        <f t="shared" ca="1" si="146"/>
        <v>-2.061267720384552E-2</v>
      </c>
      <c r="CV133" s="23">
        <f t="shared" ca="1" si="147"/>
        <v>-1.0618651892890116E-2</v>
      </c>
      <c r="CW133" s="23">
        <f t="shared" ca="1" si="148"/>
        <v>-5.391007884082674E-3</v>
      </c>
      <c r="CX133" s="24">
        <f t="shared" ca="1" si="149"/>
        <v>5.391007884082674E-3</v>
      </c>
      <c r="CY133" s="24">
        <f t="shared" ca="1" si="150"/>
        <v>1.0618651892890116E-2</v>
      </c>
      <c r="CZ133" s="24">
        <f t="shared" ca="1" si="151"/>
        <v>2.061267720384552E-2</v>
      </c>
      <c r="DA133" s="24">
        <f t="shared" ca="1" si="152"/>
        <v>3.8935056940597096E-2</v>
      </c>
      <c r="DB133" s="24">
        <f t="shared" ca="1" si="153"/>
        <v>7.008310249307477E-2</v>
      </c>
      <c r="DC133" s="24">
        <f t="shared" ca="1" si="154"/>
        <v>0.11680517082179127</v>
      </c>
      <c r="DD133" s="24">
        <f t="shared" ca="1" si="155"/>
        <v>0.17520775623268692</v>
      </c>
      <c r="DF133" s="19" cm="1">
        <f t="array" aca="1" ref="DF133" ca="1">MAX(_xlfn._xlws.FILTER(CQ133:DD133,CQ133:DD133&lt;BJ133))</f>
        <v>-3.8935056940597096E-2</v>
      </c>
      <c r="DG133" s="19" cm="1">
        <f t="array" aca="1" ref="DG133" ca="1">MIN(_xlfn._xlws.FILTER(CQ133:DD133,CQ133:DD133&gt;BJ133))</f>
        <v>-2.061267720384552E-2</v>
      </c>
      <c r="DH133" s="2" cm="1">
        <f t="array" aca="1" ref="DH133" ca="1">_FV(EE133,"Fechamento anterior",TRUE)</f>
        <v>8.91</v>
      </c>
      <c r="DI133" s="36">
        <f t="shared" ref="DI133:DI196" ca="1" si="174">(BG133-DJ133)/(DK133-DJ133)</f>
        <v>0.53237413662315192</v>
      </c>
      <c r="DJ133" s="18">
        <f t="shared" ca="1" si="156"/>
        <v>8.5630886426592792</v>
      </c>
      <c r="DK133" s="18">
        <f t="shared" ca="1" si="157"/>
        <v>8.7263410461137365</v>
      </c>
      <c r="DL133" s="9"/>
      <c r="DM133" s="9"/>
      <c r="DN133" s="9"/>
      <c r="DO133" s="9"/>
      <c r="DP133" s="79">
        <v>2.118548568852827E-2</v>
      </c>
      <c r="DQ133" s="79">
        <v>2.7505112474437612E-2</v>
      </c>
      <c r="DR133" s="79">
        <v>6.3473336479471405E-3</v>
      </c>
      <c r="DS133" s="79">
        <f t="shared" ref="DS133:DS196" ca="1" si="175">DG133-DF133</f>
        <v>1.8322379736751576E-2</v>
      </c>
      <c r="DT133" s="47"/>
      <c r="DU133" s="43">
        <f t="shared" ref="DU133:DU196" si="176">_xlfn.STDEV.P(BC133:BF133)</f>
        <v>0.38131351929875268</v>
      </c>
      <c r="DV133" s="83">
        <f t="shared" ref="DV133:DV196" ca="1" si="177">BI133-$DP$2</f>
        <v>1.2881</v>
      </c>
      <c r="DW133" s="83">
        <f t="shared" ref="DW133:DW196" ca="1" si="178">BI133-BJ133*100</f>
        <v>3.7801</v>
      </c>
      <c r="DX133" s="83">
        <f t="shared" ref="DX133:DX184" ca="1" si="179">DV133-DW133</f>
        <v>-2.492</v>
      </c>
      <c r="DY133" s="67"/>
      <c r="DZ133" s="67"/>
      <c r="EA133" s="85"/>
      <c r="EB133" s="44">
        <v>2630200</v>
      </c>
      <c r="EC133" s="44" cm="1">
        <f t="array" aca="1" ref="EC133" ca="1">_FV(EE133,"Volume")</f>
        <v>5206000</v>
      </c>
      <c r="EE133" s="2" t="e" vm="132">
        <v>#VALUE!</v>
      </c>
      <c r="EG133" s="10" cm="1">
        <f t="array" aca="1" ref="EG133" ca="1">_FV(EE133,"Ações em circulação",TRUE)</f>
        <v>329330500</v>
      </c>
      <c r="EH133" s="21">
        <f>VLOOKUP(BH133,Fundamentus!A:U,5,FALSE)</f>
        <v>0.23499999999999999</v>
      </c>
      <c r="EI133" s="2">
        <f t="shared" ref="EI133:EI196" ca="1" si="180">(BG133*EG133)/EH133</f>
        <v>12122165212.765959</v>
      </c>
      <c r="EJ133" s="20">
        <v>580797459.95531917</v>
      </c>
      <c r="EK133" s="20">
        <f t="shared" ref="EK133:EK196" ca="1" si="181">EI133*EV133</f>
        <v>558831816.30851078</v>
      </c>
      <c r="EM133" s="40" t="str">
        <f>IF(VLOOKUP(BH133,Fundamentus!A:U,3,FALSE)&lt;15,"Bom",IF(VLOOKUP(BH133,Fundamentus!A:U,3,FALSE)&gt;15,"Ruim","n/a"))</f>
        <v>Bom</v>
      </c>
      <c r="EN133" s="36" t="str">
        <f>IF(VLOOKUP(BH133,Fundamentus!A:U,4,FALSE)&lt;1,"Baixo",IF(VLOOKUP(BH133,Fundamentus!A:U,4,FALSE)&lt;1.5,"Moderado",IF(VLOOKUP(BH133,Fundamentus!A:U,4,FALSE)&gt;1.5,"Alto","n/a")))</f>
        <v>Baixo</v>
      </c>
      <c r="EO133" s="20" t="str">
        <f>IF(VLOOKUP(BH133,Fundamentus!A:U,8,FALSE)&lt;0,"Risco elevado",IF(VLOOKUP(BH133,Fundamentus!A:U,8,FALSE)&lt;1,"Saudável",IF(VLOOKUP(BH133,Fundamentus!A:U,8,FALSE)&lt;3,"Estável",IF(VLOOKUP(BH133,Fundamentus!A:U,8,FALSE)&gt;3,"Alerta","n/a"))))</f>
        <v>Saudável</v>
      </c>
      <c r="EP133" s="36" t="str">
        <f t="shared" ref="EP133:EP196" si="182">IF(EH133&gt;1,"Bom","Ruim")</f>
        <v>Ruim</v>
      </c>
      <c r="EQ133" s="20" t="str">
        <f>IF(VLOOKUP(BH133,Fundamentus!A:U,12,FALSE)&lt;2,"Subvalorizada",IF(VLOOKUP(BH133,Fundamentus!A:U,12,FALSE)&lt;6,"Muita barata",IF(VLOOKUP(BH133,Fundamentus!A:U,12,FALSE)&lt;6,"Barata",IF(VLOOKUP(BH133,Fundamentus!A:U,12,FALSE)&lt;8,"Atrativa",IF(VLOOKUP(BH133,Fundamentus!A:U,12,FALSE)&gt;8,"Supervalorizada","n/a")))))</f>
        <v>Muita barata</v>
      </c>
      <c r="ES133" s="20" t="str">
        <f>IF(VLOOKUP(BH133,Fundamentus!A:U,17,FALSE)&lt;0.1,"Fraco retorno",IF(VLOOKUP(BH133,Fundamentus!A:U,17,FALSE)&gt;0.1,"Bom retorno","n/a"))</f>
        <v>Bom retorno</v>
      </c>
      <c r="ET133" s="20" t="str">
        <f>IF(VLOOKUP(BH133,Fundamentus!A:U,16,FALSE)&lt;0.1,"Ineficiente",IF(VLOOKUP(BH133,Fundamentus!A:U,16,FALSE)&gt;0.1,"Eficiente","n/a"))</f>
        <v>Ineficiente</v>
      </c>
      <c r="EU133" s="41" t="str">
        <f>IF(VLOOKUP(BH133,Fundamentus!A:U,16,FALSE)&lt;0.1,"Oper. Ineficiente",IF(VLOOKUP(BH133,Fundamentus!A:U,16,FALSE)&gt;0.1,"Oper.Eficiente","n/a"))</f>
        <v>Oper. Ineficiente</v>
      </c>
      <c r="EV133" s="42">
        <f>VLOOKUP(BH133,Fundamentus!A:U,14,FALSE)</f>
        <v>4.6100000000000002E-2</v>
      </c>
      <c r="EW133" s="20" t="str">
        <f>IF(VLOOKUP(BH133,Fundamentus!A:U,21,FALSE)&lt;0,"Negativo",IF(VLOOKUP(BH133,Fundamentus!A:U,21,FALSE)&lt;0.05,"Fraco",IF(VLOOKUP(BH133,Fundamentus!A:U,21,FALSE)&lt;0.1,"Bom",IF(VLOOKUP(BH133,Fundamentus!A:U,21,FALSE)&gt;0.1,"Muito bom","n/a"))))</f>
        <v>Muito bom</v>
      </c>
      <c r="EY133" s="37" t="str">
        <f>IF(VLOOKUP(BH133,Fundamentus!A:U,15,FALSE)&gt;1,"Bom",IF(VLOOKUP(BH133,Fundamentus!A:U,15,FALSE)&lt;1,"Ruim","n/a"))</f>
        <v>Bom</v>
      </c>
      <c r="EZ133" s="20" t="str">
        <f>IF(VLOOKUP(BH133,Fundamentus!A:U,20,FALSE)&lt;0.5,"Baixa",IF(VLOOKUP(BH133,Fundamentus!A:U,20,FALSE)&lt;1,"Moderada",IF(VLOOKUP(BH133,Fundamentus!A:U,20,FALSE)&lt;2,"Alerta",IF(VLOOKUP(BH133,Fundamentus!A:U,20,FALSE)&gt;2,"Alta","n/a"))))</f>
        <v>Alta</v>
      </c>
      <c r="FA133" s="10"/>
    </row>
    <row r="134" spans="1:157" s="2" customFormat="1" ht="11.25" hidden="1" x14ac:dyDescent="0.2">
      <c r="A134" s="4">
        <v>9.5</v>
      </c>
      <c r="B134" s="4">
        <v>9.26</v>
      </c>
      <c r="C134" s="4">
        <v>8.82</v>
      </c>
      <c r="D134" s="4">
        <v>8.5</v>
      </c>
      <c r="E134" s="4">
        <v>8.1999999999999993</v>
      </c>
      <c r="F134" s="4">
        <v>8.1</v>
      </c>
      <c r="G134" s="4">
        <v>7.91</v>
      </c>
      <c r="H134" s="4">
        <v>8.6300000000000008</v>
      </c>
      <c r="I134" s="4">
        <v>9.26</v>
      </c>
      <c r="J134" s="4">
        <v>10.1</v>
      </c>
      <c r="K134" s="4">
        <v>10.4</v>
      </c>
      <c r="L134" s="4">
        <v>9.85</v>
      </c>
      <c r="M134" s="4">
        <v>9.5500000000000007</v>
      </c>
      <c r="N134" s="4">
        <v>8.9</v>
      </c>
      <c r="O134" s="4">
        <v>9.3000000000000007</v>
      </c>
      <c r="P134" s="4">
        <v>8.85</v>
      </c>
      <c r="Q134" s="4">
        <v>9.06</v>
      </c>
      <c r="R134" s="4">
        <v>8.93</v>
      </c>
      <c r="S134" s="4">
        <v>8.6999999999999993</v>
      </c>
      <c r="T134" s="4">
        <v>8.84</v>
      </c>
      <c r="U134" s="4">
        <v>8.64</v>
      </c>
      <c r="V134" s="4">
        <v>8.85</v>
      </c>
      <c r="W134" s="4">
        <v>8.76</v>
      </c>
      <c r="X134" s="4">
        <v>8.74</v>
      </c>
      <c r="Y134" s="4">
        <v>9.14</v>
      </c>
      <c r="Z134" s="4">
        <v>9.39</v>
      </c>
      <c r="AA134" s="4">
        <v>9.15</v>
      </c>
      <c r="AB134" s="4">
        <v>9.32</v>
      </c>
      <c r="AC134" s="4">
        <v>9.35</v>
      </c>
      <c r="AD134" s="4">
        <v>9.07</v>
      </c>
      <c r="AE134" s="4">
        <v>8.89</v>
      </c>
      <c r="AF134" s="4">
        <v>8.73</v>
      </c>
      <c r="AG134" s="4">
        <v>8.6300000000000008</v>
      </c>
      <c r="AH134" s="4">
        <v>8.17</v>
      </c>
      <c r="AI134" s="4">
        <v>8.2100000000000009</v>
      </c>
      <c r="AJ134" s="4">
        <v>8.1999999999999993</v>
      </c>
      <c r="AK134" s="4">
        <v>7.97</v>
      </c>
      <c r="AL134" s="4">
        <v>7.46</v>
      </c>
      <c r="AM134" s="4">
        <v>7.89</v>
      </c>
      <c r="AN134" s="4">
        <v>8</v>
      </c>
      <c r="AO134" s="4">
        <v>7.8</v>
      </c>
      <c r="AP134" s="4">
        <v>8.5399999999999991</v>
      </c>
      <c r="AQ134" s="4">
        <v>8.27</v>
      </c>
      <c r="AR134" s="4">
        <v>8.3000000000000007</v>
      </c>
      <c r="AS134" s="4">
        <v>8.34</v>
      </c>
      <c r="AT134" s="4">
        <v>8.64</v>
      </c>
      <c r="AU134" s="4">
        <v>8.5500000000000007</v>
      </c>
      <c r="AV134" s="4">
        <v>8.08</v>
      </c>
      <c r="AW134" s="4">
        <v>7.95</v>
      </c>
      <c r="AX134" s="4">
        <v>7.83</v>
      </c>
      <c r="AY134" s="12">
        <v>8.06</v>
      </c>
      <c r="AZ134" s="12">
        <v>8.3000000000000007</v>
      </c>
      <c r="BA134" s="12">
        <v>8.1999999999999993</v>
      </c>
      <c r="BB134" s="18">
        <v>7.85</v>
      </c>
      <c r="BC134" s="63">
        <v>7.58</v>
      </c>
      <c r="BD134" s="63">
        <v>7.66</v>
      </c>
      <c r="BE134" s="63">
        <v>8.02</v>
      </c>
      <c r="BF134" s="63">
        <v>8.15</v>
      </c>
      <c r="BG134" s="91" cm="1">
        <f t="array" aca="1" ref="BG134" ca="1">_FV(EE134,"Preço")</f>
        <v>8.0299999999999994</v>
      </c>
      <c r="BH134" s="93" t="s">
        <v>131</v>
      </c>
      <c r="BI134" s="32" cm="1">
        <f t="array" aca="1" ref="BI134" ca="1">_FV(EE134,"Beta")</f>
        <v>0.86199999999999999</v>
      </c>
      <c r="BJ134" s="96" cm="1">
        <f t="array" aca="1" ref="BJ134" ca="1">_FV(EE134,"Variação (%)",TRUE)</f>
        <v>-2.4840000000000001E-3</v>
      </c>
      <c r="BK134" s="49"/>
      <c r="BL134" s="49"/>
      <c r="BN134" s="32"/>
      <c r="BO134" s="20" cm="1">
        <f t="array" aca="1" ref="BO134" ca="1">_FV(EE134,"Baixo")</f>
        <v>7.9</v>
      </c>
      <c r="BP134" s="20" cm="1">
        <f t="array" aca="1" ref="BP134" ca="1">_FV(EE134,"Alto")</f>
        <v>8.14</v>
      </c>
      <c r="BQ134" s="32"/>
      <c r="BR134" s="74">
        <f ca="1">SQRT(22.5*(BG134/VLOOKUP(BH134,Fundamentus!A:U,3,FALSE))*(BG134/VLOOKUP(BH134,Fundamentus!A:U,4,FALSE)))</f>
        <v>14.073144025072365</v>
      </c>
      <c r="BT134" s="73">
        <f t="shared" ca="1" si="158"/>
        <v>-1.472392638036822E-2</v>
      </c>
      <c r="BU134" s="36">
        <f t="shared" si="159"/>
        <v>-0.15578947368421056</v>
      </c>
      <c r="BV134" s="8"/>
      <c r="BW134" s="72">
        <f t="shared" si="160"/>
        <v>7.46</v>
      </c>
      <c r="BX134" s="72">
        <f t="shared" si="161"/>
        <v>8.6093103448275841</v>
      </c>
      <c r="BY134" s="72">
        <f t="shared" si="162"/>
        <v>10.4</v>
      </c>
      <c r="BZ134" s="17"/>
      <c r="CA134" s="17"/>
      <c r="CB134" s="43">
        <f t="shared" si="163"/>
        <v>7.8753647270661276</v>
      </c>
      <c r="CC134" s="18">
        <f t="shared" si="164"/>
        <v>8.3527272727271793</v>
      </c>
      <c r="CD134" s="43">
        <f t="shared" si="165"/>
        <v>8.830089818388231</v>
      </c>
      <c r="CE134" s="98">
        <f t="shared" ca="1" si="166"/>
        <v>-0.67606324723333111</v>
      </c>
      <c r="CF134" s="17"/>
      <c r="CG134" s="20">
        <f t="shared" si="167"/>
        <v>3.9999999999999991</v>
      </c>
      <c r="CH134" s="20">
        <f t="shared" si="168"/>
        <v>5.7299999999999995</v>
      </c>
      <c r="CI134" s="20">
        <f t="shared" si="169"/>
        <v>6.9399999999999995</v>
      </c>
      <c r="CJ134" s="49">
        <f t="shared" si="170"/>
        <v>8.67</v>
      </c>
      <c r="CK134" s="20">
        <f t="shared" si="171"/>
        <v>9.879999999999999</v>
      </c>
      <c r="CL134" s="20">
        <f t="shared" si="172"/>
        <v>11.61</v>
      </c>
      <c r="CM134" s="20">
        <f t="shared" si="173"/>
        <v>12.82</v>
      </c>
      <c r="CN134" s="2" cm="1">
        <f t="array" aca="1" ref="CN134" ca="1">MAX(_xlfn._xlws.FILTER(CG134:CM134,CG134:CM134&lt;BG134))</f>
        <v>6.9399999999999995</v>
      </c>
      <c r="CO134" s="2" cm="1">
        <f t="array" aca="1" ref="CO134" ca="1">MIN(_xlfn._xlws.FILTER($CG134:$CM134,$CG134:$CM134&gt;BG134))</f>
        <v>8.67</v>
      </c>
      <c r="CP134" s="19">
        <f t="shared" ca="1" si="141"/>
        <v>0.24927953890489918</v>
      </c>
      <c r="CQ134" s="23">
        <f t="shared" ca="1" si="142"/>
        <v>-0.12463976945244959</v>
      </c>
      <c r="CR134" s="23">
        <f t="shared" ca="1" si="143"/>
        <v>-8.3093179634966388E-2</v>
      </c>
      <c r="CS134" s="23">
        <f t="shared" ca="1" si="144"/>
        <v>-4.9855907780979834E-2</v>
      </c>
      <c r="CT134" s="23">
        <f t="shared" ca="1" si="145"/>
        <v>-2.7697726544988796E-2</v>
      </c>
      <c r="CU134" s="23">
        <f t="shared" ca="1" si="146"/>
        <v>-1.4663502288523481E-2</v>
      </c>
      <c r="CV134" s="23">
        <f t="shared" ca="1" si="147"/>
        <v>-7.5539254213605814E-3</v>
      </c>
      <c r="CW134" s="23">
        <f t="shared" ca="1" si="148"/>
        <v>-3.8350698293061411E-3</v>
      </c>
      <c r="CX134" s="24">
        <f t="shared" ca="1" si="149"/>
        <v>3.8350698293061411E-3</v>
      </c>
      <c r="CY134" s="24">
        <f t="shared" ca="1" si="150"/>
        <v>7.5539254213605814E-3</v>
      </c>
      <c r="CZ134" s="24">
        <f t="shared" ca="1" si="151"/>
        <v>1.4663502288523481E-2</v>
      </c>
      <c r="DA134" s="24">
        <f t="shared" ca="1" si="152"/>
        <v>2.7697726544988796E-2</v>
      </c>
      <c r="DB134" s="24">
        <f t="shared" ca="1" si="153"/>
        <v>4.9855907780979834E-2</v>
      </c>
      <c r="DC134" s="24">
        <f t="shared" ca="1" si="154"/>
        <v>8.3093179634966388E-2</v>
      </c>
      <c r="DD134" s="24">
        <f t="shared" ca="1" si="155"/>
        <v>0.12463976945244959</v>
      </c>
      <c r="DF134" s="19" cm="1">
        <f t="array" aca="1" ref="DF134" ca="1">MAX(_xlfn._xlws.FILTER(CQ134:DD134,CQ134:DD134&lt;BJ134))</f>
        <v>-3.8350698293061411E-3</v>
      </c>
      <c r="DG134" s="19" cm="1">
        <f t="array" aca="1" ref="DG134" ca="1">MIN(_xlfn._xlws.FILTER(CQ134:DD134,CQ134:DD134&gt;BJ134))</f>
        <v>3.8350698293061411E-3</v>
      </c>
      <c r="DH134" s="2" cm="1">
        <f t="array" aca="1" ref="DH134" ca="1">_FV(EE134,"Fechamento anterior",TRUE)</f>
        <v>8.0500000000000007</v>
      </c>
      <c r="DI134" s="36">
        <f t="shared" ca="1" si="174"/>
        <v>0.17608516138295799</v>
      </c>
      <c r="DJ134" s="18">
        <f t="shared" ca="1" si="156"/>
        <v>8.0191276878740858</v>
      </c>
      <c r="DK134" s="18">
        <f t="shared" ca="1" si="157"/>
        <v>8.0808723121259156</v>
      </c>
      <c r="DL134" s="9"/>
      <c r="DM134" s="9"/>
      <c r="DN134" s="9"/>
      <c r="DO134" s="9"/>
      <c r="DP134" s="79">
        <v>7.6608460389157151E-3</v>
      </c>
      <c r="DQ134" s="79">
        <v>1.4512471655328815E-2</v>
      </c>
      <c r="DR134" s="79">
        <v>5.0235478806907432E-3</v>
      </c>
      <c r="DS134" s="79">
        <f t="shared" ca="1" si="175"/>
        <v>7.6701396586122822E-3</v>
      </c>
      <c r="DT134" s="47"/>
      <c r="DU134" s="43">
        <f t="shared" si="176"/>
        <v>0.23868127283052601</v>
      </c>
      <c r="DV134" s="83">
        <f t="shared" ca="1" si="177"/>
        <v>1.2881</v>
      </c>
      <c r="DW134" s="83">
        <f t="shared" ca="1" si="178"/>
        <v>1.1104000000000001</v>
      </c>
      <c r="DX134" s="83">
        <f t="shared" ca="1" si="179"/>
        <v>0.17769999999999997</v>
      </c>
      <c r="DY134" s="67"/>
      <c r="DZ134" s="67"/>
      <c r="EA134" s="85"/>
      <c r="EB134" s="44">
        <v>4800</v>
      </c>
      <c r="EC134" s="44" cm="1">
        <f t="array" aca="1" ref="EC134" ca="1">_FV(EE134,"Volume")</f>
        <v>265200</v>
      </c>
      <c r="EE134" s="2" t="e" vm="133">
        <v>#VALUE!</v>
      </c>
      <c r="EG134" s="10" cm="1">
        <f t="array" aca="1" ref="EG134" ca="1">_FV(EE134,"Ações em circulação",TRUE)</f>
        <v>329330500</v>
      </c>
      <c r="EH134" s="21">
        <f>VLOOKUP(BH134,Fundamentus!A:U,5,FALSE)</f>
        <v>0.214</v>
      </c>
      <c r="EI134" s="2">
        <f t="shared" ca="1" si="180"/>
        <v>12357588387.850468</v>
      </c>
      <c r="EJ134" s="20">
        <v>578198171.99766362</v>
      </c>
      <c r="EK134" s="20">
        <f t="shared" ca="1" si="181"/>
        <v>569684824.67990661</v>
      </c>
      <c r="EM134" s="40" t="str">
        <f>IF(VLOOKUP(BH134,Fundamentus!A:U,3,FALSE)&lt;15,"Bom",IF(VLOOKUP(BH134,Fundamentus!A:U,3,FALSE)&gt;15,"Ruim","n/a"))</f>
        <v>Bom</v>
      </c>
      <c r="EN134" s="36" t="str">
        <f>IF(VLOOKUP(BH134,Fundamentus!A:U,4,FALSE)&lt;1,"Baixo",IF(VLOOKUP(BH134,Fundamentus!A:U,4,FALSE)&lt;1.5,"Moderado",IF(VLOOKUP(BH134,Fundamentus!A:U,4,FALSE)&gt;1.5,"Alto","n/a")))</f>
        <v>Baixo</v>
      </c>
      <c r="EO134" s="20" t="str">
        <f>IF(VLOOKUP(BH134,Fundamentus!A:U,8,FALSE)&lt;0,"Risco elevado",IF(VLOOKUP(BH134,Fundamentus!A:U,8,FALSE)&lt;1,"Saudável",IF(VLOOKUP(BH134,Fundamentus!A:U,8,FALSE)&lt;3,"Estável",IF(VLOOKUP(BH134,Fundamentus!A:U,8,FALSE)&gt;3,"Alerta","n/a"))))</f>
        <v>Saudável</v>
      </c>
      <c r="EP134" s="36" t="str">
        <f t="shared" si="182"/>
        <v>Ruim</v>
      </c>
      <c r="EQ134" s="20" t="str">
        <f>IF(VLOOKUP(BH134,Fundamentus!A:U,12,FALSE)&lt;2,"Subvalorizada",IF(VLOOKUP(BH134,Fundamentus!A:U,12,FALSE)&lt;6,"Muita barata",IF(VLOOKUP(BH134,Fundamentus!A:U,12,FALSE)&lt;6,"Barata",IF(VLOOKUP(BH134,Fundamentus!A:U,12,FALSE)&lt;8,"Atrativa",IF(VLOOKUP(BH134,Fundamentus!A:U,12,FALSE)&gt;8,"Supervalorizada","n/a")))))</f>
        <v>Muita barata</v>
      </c>
      <c r="ES134" s="20" t="str">
        <f>IF(VLOOKUP(BH134,Fundamentus!A:U,17,FALSE)&lt;0.1,"Fraco retorno",IF(VLOOKUP(BH134,Fundamentus!A:U,17,FALSE)&gt;0.1,"Bom retorno","n/a"))</f>
        <v>Bom retorno</v>
      </c>
      <c r="ET134" s="20" t="str">
        <f>IF(VLOOKUP(BH134,Fundamentus!A:U,16,FALSE)&lt;0.1,"Ineficiente",IF(VLOOKUP(BH134,Fundamentus!A:U,16,FALSE)&gt;0.1,"Eficiente","n/a"))</f>
        <v>Ineficiente</v>
      </c>
      <c r="EU134" s="41" t="str">
        <f>IF(VLOOKUP(BH134,Fundamentus!A:U,16,FALSE)&lt;0.1,"Oper. Ineficiente",IF(VLOOKUP(BH134,Fundamentus!A:U,16,FALSE)&gt;0.1,"Oper.Eficiente","n/a"))</f>
        <v>Oper. Ineficiente</v>
      </c>
      <c r="EV134" s="42">
        <f>VLOOKUP(BH134,Fundamentus!A:U,14,FALSE)</f>
        <v>4.6100000000000002E-2</v>
      </c>
      <c r="EW134" s="20" t="str">
        <f>IF(VLOOKUP(BH134,Fundamentus!A:U,21,FALSE)&lt;0,"Negativo",IF(VLOOKUP(BH134,Fundamentus!A:U,21,FALSE)&lt;0.05,"Fraco",IF(VLOOKUP(BH134,Fundamentus!A:U,21,FALSE)&lt;0.1,"Bom",IF(VLOOKUP(BH134,Fundamentus!A:U,21,FALSE)&gt;0.1,"Muito bom","n/a"))))</f>
        <v>Muito bom</v>
      </c>
      <c r="EY134" s="37" t="str">
        <f>IF(VLOOKUP(BH134,Fundamentus!A:U,15,FALSE)&gt;1,"Bom",IF(VLOOKUP(BH134,Fundamentus!A:U,15,FALSE)&lt;1,"Ruim","n/a"))</f>
        <v>Bom</v>
      </c>
      <c r="EZ134" s="20" t="str">
        <f>IF(VLOOKUP(BH134,Fundamentus!A:U,20,FALSE)&lt;0.5,"Baixa",IF(VLOOKUP(BH134,Fundamentus!A:U,20,FALSE)&lt;1,"Moderada",IF(VLOOKUP(BH134,Fundamentus!A:U,20,FALSE)&lt;2,"Alerta",IF(VLOOKUP(BH134,Fundamentus!A:U,20,FALSE)&gt;2,"Alta","n/a"))))</f>
        <v>Alta</v>
      </c>
      <c r="FA134" s="10"/>
    </row>
    <row r="135" spans="1:157" s="2" customFormat="1" ht="11.25" hidden="1" x14ac:dyDescent="0.2">
      <c r="A135" s="4">
        <v>2.2999999999999998</v>
      </c>
      <c r="B135" s="4">
        <v>2.06</v>
      </c>
      <c r="C135" s="4">
        <v>2.2400000000000002</v>
      </c>
      <c r="D135" s="4">
        <v>2.06</v>
      </c>
      <c r="E135" s="4">
        <v>2.1</v>
      </c>
      <c r="F135" s="4">
        <v>2.16</v>
      </c>
      <c r="G135" s="4">
        <v>2.09</v>
      </c>
      <c r="H135" s="4">
        <v>2.12</v>
      </c>
      <c r="I135" s="4">
        <v>2.17</v>
      </c>
      <c r="J135" s="4">
        <v>2.14</v>
      </c>
      <c r="K135" s="4">
        <v>2.62</v>
      </c>
      <c r="L135" s="4">
        <v>2.62</v>
      </c>
      <c r="M135" s="4">
        <v>2.75</v>
      </c>
      <c r="N135" s="4">
        <v>2.73</v>
      </c>
      <c r="O135" s="4">
        <v>3.08</v>
      </c>
      <c r="P135" s="4">
        <v>2.8</v>
      </c>
      <c r="Q135" s="4">
        <v>2.72</v>
      </c>
      <c r="R135" s="4">
        <v>2.94</v>
      </c>
      <c r="S135" s="4">
        <v>2.65</v>
      </c>
      <c r="T135" s="4">
        <v>2.78</v>
      </c>
      <c r="U135" s="4">
        <v>2.46</v>
      </c>
      <c r="V135" s="4">
        <v>2.7</v>
      </c>
      <c r="W135" s="4">
        <v>2.2400000000000002</v>
      </c>
      <c r="X135" s="4">
        <v>2.14</v>
      </c>
      <c r="Y135" s="4">
        <v>2.0299999999999998</v>
      </c>
      <c r="Z135" s="4">
        <v>2.09</v>
      </c>
      <c r="AA135" s="4">
        <v>2.09</v>
      </c>
      <c r="AB135" s="4">
        <v>1.95</v>
      </c>
      <c r="AC135" s="4">
        <v>2.09</v>
      </c>
      <c r="AD135" s="4">
        <v>2.2000000000000002</v>
      </c>
      <c r="AE135" s="4">
        <v>1.96</v>
      </c>
      <c r="AF135" s="4">
        <v>1.77</v>
      </c>
      <c r="AG135" s="4">
        <v>1.59</v>
      </c>
      <c r="AH135" s="4">
        <v>1.43</v>
      </c>
      <c r="AI135" s="4">
        <v>1.48</v>
      </c>
      <c r="AJ135" s="4">
        <v>1.41</v>
      </c>
      <c r="AK135" s="4">
        <v>1.43</v>
      </c>
      <c r="AL135" s="4">
        <v>1.52</v>
      </c>
      <c r="AM135" s="4">
        <v>1.54</v>
      </c>
      <c r="AN135" s="4">
        <v>1.59</v>
      </c>
      <c r="AO135" s="4">
        <v>1.35</v>
      </c>
      <c r="AP135" s="4">
        <v>1.41</v>
      </c>
      <c r="AQ135" s="4">
        <v>1.39</v>
      </c>
      <c r="AR135" s="4">
        <v>1.39</v>
      </c>
      <c r="AS135" s="4">
        <v>1.32</v>
      </c>
      <c r="AT135" s="4">
        <v>1.2</v>
      </c>
      <c r="AU135" s="4">
        <v>1.1599999999999999</v>
      </c>
      <c r="AV135" s="4">
        <v>1.1399999999999999</v>
      </c>
      <c r="AW135" s="4">
        <v>1.03</v>
      </c>
      <c r="AX135" s="4">
        <v>1</v>
      </c>
      <c r="AY135" s="12">
        <v>1.04</v>
      </c>
      <c r="AZ135" s="12">
        <v>1.1599999999999999</v>
      </c>
      <c r="BA135" s="12">
        <v>1.06</v>
      </c>
      <c r="BB135" s="18">
        <v>1</v>
      </c>
      <c r="BC135" s="63">
        <v>1.01</v>
      </c>
      <c r="BD135" s="63">
        <v>0.94</v>
      </c>
      <c r="BE135" s="63">
        <v>0.98</v>
      </c>
      <c r="BF135" s="63">
        <v>0.97</v>
      </c>
      <c r="BG135" s="91" cm="1">
        <f t="array" aca="1" ref="BG135" ca="1">_FV(EE135,"Preço")</f>
        <v>0.96</v>
      </c>
      <c r="BH135" s="93" t="s">
        <v>132</v>
      </c>
      <c r="BI135" s="32" cm="1">
        <f t="array" aca="1" ref="BI135" ca="1">_FV(EE135,"Beta")</f>
        <v>1.5508999999999999</v>
      </c>
      <c r="BJ135" s="96" cm="1">
        <f t="array" aca="1" ref="BJ135" ca="1">_FV(EE135,"Variação (%)",TRUE)</f>
        <v>-1.0308999999999999E-2</v>
      </c>
      <c r="BK135" s="49"/>
      <c r="BL135" s="49"/>
      <c r="BN135" s="32"/>
      <c r="BO135" s="20" cm="1">
        <f t="array" aca="1" ref="BO135" ca="1">_FV(EE135,"Baixo")</f>
        <v>0.94</v>
      </c>
      <c r="BP135" s="20" cm="1">
        <f t="array" aca="1" ref="BP135" ca="1">_FV(EE135,"Alto")</f>
        <v>0.96</v>
      </c>
      <c r="BQ135" s="32"/>
      <c r="BR135" s="74" t="e">
        <f ca="1">SQRT(22.5*(BG135/VLOOKUP(BH135,Fundamentus!A:U,3,FALSE))*(BG135/VLOOKUP(BH135,Fundamentus!A:U,4,FALSE)))</f>
        <v>#NUM!</v>
      </c>
      <c r="BT135" s="73">
        <f t="shared" ca="1" si="158"/>
        <v>-1.0309278350515474E-2</v>
      </c>
      <c r="BU135" s="36">
        <f t="shared" si="159"/>
        <v>-0.57391304347826089</v>
      </c>
      <c r="BV135" s="8"/>
      <c r="BW135" s="72">
        <f t="shared" si="160"/>
        <v>0.94</v>
      </c>
      <c r="BX135" s="72">
        <f t="shared" si="161"/>
        <v>1.8515517241379313</v>
      </c>
      <c r="BY135" s="72">
        <f t="shared" si="162"/>
        <v>3.08</v>
      </c>
      <c r="BZ135" s="17"/>
      <c r="CA135" s="17"/>
      <c r="CB135" s="43">
        <f t="shared" si="163"/>
        <v>0.90403936269915586</v>
      </c>
      <c r="CC135" s="18">
        <f t="shared" si="164"/>
        <v>0.9540393626991559</v>
      </c>
      <c r="CD135" s="43">
        <f t="shared" si="165"/>
        <v>1.0040393626991559</v>
      </c>
      <c r="CE135" s="98">
        <f t="shared" ca="1" si="166"/>
        <v>0.11921274601688114</v>
      </c>
      <c r="CF135" s="17"/>
      <c r="CG135" s="20">
        <f t="shared" si="167"/>
        <v>-1.893333333333334</v>
      </c>
      <c r="CH135" s="20">
        <f t="shared" si="168"/>
        <v>-0.47666666666666702</v>
      </c>
      <c r="CI135" s="20">
        <f t="shared" si="169"/>
        <v>0.24666666666666615</v>
      </c>
      <c r="CJ135" s="49">
        <f t="shared" si="170"/>
        <v>1.6633333333333331</v>
      </c>
      <c r="CK135" s="20">
        <f t="shared" si="171"/>
        <v>2.3866666666666663</v>
      </c>
      <c r="CL135" s="20">
        <f t="shared" si="172"/>
        <v>3.8033333333333332</v>
      </c>
      <c r="CM135" s="20">
        <f t="shared" si="173"/>
        <v>4.5266666666666664</v>
      </c>
      <c r="CN135" s="2" cm="1">
        <f t="array" aca="1" ref="CN135" ca="1">MAX(_xlfn._xlws.FILTER(CG135:CM135,CG135:CM135&lt;BG135))</f>
        <v>0.24666666666666615</v>
      </c>
      <c r="CO135" s="2" cm="1">
        <f t="array" aca="1" ref="CO135" ca="1">MIN(_xlfn._xlws.FILTER($CG135:$CM135,$CG135:$CM135&gt;BG135))</f>
        <v>1.6633333333333331</v>
      </c>
      <c r="CP135" s="19">
        <f t="shared" ca="1" si="141"/>
        <v>5.7432432432432563</v>
      </c>
      <c r="CQ135" s="23">
        <f t="shared" ca="1" si="142"/>
        <v>-2.8716216216216282</v>
      </c>
      <c r="CR135" s="23">
        <f t="shared" ca="1" si="143"/>
        <v>-1.9144144144144188</v>
      </c>
      <c r="CS135" s="23">
        <f t="shared" ca="1" si="144"/>
        <v>-1.1486486486486513</v>
      </c>
      <c r="CT135" s="23">
        <f t="shared" ca="1" si="145"/>
        <v>-0.63813813813813958</v>
      </c>
      <c r="CU135" s="23">
        <f t="shared" ca="1" si="146"/>
        <v>-0.33783783783783861</v>
      </c>
      <c r="CV135" s="23">
        <f t="shared" ca="1" si="147"/>
        <v>-0.17403767403767442</v>
      </c>
      <c r="CW135" s="23">
        <f t="shared" ca="1" si="148"/>
        <v>-8.8357588357588557E-2</v>
      </c>
      <c r="CX135" s="24">
        <f t="shared" ca="1" si="149"/>
        <v>8.8357588357588557E-2</v>
      </c>
      <c r="CY135" s="24">
        <f t="shared" ca="1" si="150"/>
        <v>0.17403767403767442</v>
      </c>
      <c r="CZ135" s="24">
        <f t="shared" ca="1" si="151"/>
        <v>0.33783783783783861</v>
      </c>
      <c r="DA135" s="24">
        <f t="shared" ca="1" si="152"/>
        <v>0.63813813813813958</v>
      </c>
      <c r="DB135" s="24">
        <f t="shared" ca="1" si="153"/>
        <v>1.1486486486486513</v>
      </c>
      <c r="DC135" s="24">
        <f t="shared" ca="1" si="154"/>
        <v>1.9144144144144188</v>
      </c>
      <c r="DD135" s="24">
        <f t="shared" ca="1" si="155"/>
        <v>2.8716216216216282</v>
      </c>
      <c r="DF135" s="19" cm="1">
        <f t="array" aca="1" ref="DF135" ca="1">MAX(_xlfn._xlws.FILTER(CQ135:DD135,CQ135:DD135&lt;BJ135))</f>
        <v>-8.8357588357588557E-2</v>
      </c>
      <c r="DG135" s="19" cm="1">
        <f t="array" aca="1" ref="DG135" ca="1">MIN(_xlfn._xlws.FILTER(CQ135:DD135,CQ135:DD135&gt;BJ135))</f>
        <v>8.8357588357588557E-2</v>
      </c>
      <c r="DH135" s="2" cm="1">
        <f t="array" aca="1" ref="DH135" ca="1">_FV(EE135,"Fechamento anterior",TRUE)</f>
        <v>0.97</v>
      </c>
      <c r="DI135" s="36">
        <f t="shared" ca="1" si="174"/>
        <v>0.44166161309884788</v>
      </c>
      <c r="DJ135" s="18">
        <f t="shared" ca="1" si="156"/>
        <v>0.88429313929313902</v>
      </c>
      <c r="DK135" s="18">
        <f t="shared" ca="1" si="157"/>
        <v>1.0557068607068609</v>
      </c>
      <c r="DL135" s="9"/>
      <c r="DM135" s="9"/>
      <c r="DN135" s="9"/>
      <c r="DO135" s="9"/>
      <c r="DP135" s="79">
        <v>0.74285714285714677</v>
      </c>
      <c r="DQ135" s="79">
        <v>1.0769230769230662</v>
      </c>
      <c r="DR135" s="79">
        <v>1.0769230769230662</v>
      </c>
      <c r="DS135" s="79">
        <f t="shared" ca="1" si="175"/>
        <v>0.17671517671517711</v>
      </c>
      <c r="DT135" s="47"/>
      <c r="DU135" s="43">
        <f t="shared" si="176"/>
        <v>2.5000000000000022E-2</v>
      </c>
      <c r="DV135" s="83">
        <f t="shared" ca="1" si="177"/>
        <v>1.9769999999999999</v>
      </c>
      <c r="DW135" s="83">
        <f t="shared" ca="1" si="178"/>
        <v>2.5817999999999999</v>
      </c>
      <c r="DX135" s="83">
        <f t="shared" ca="1" si="179"/>
        <v>-0.6048</v>
      </c>
      <c r="DY135" s="67"/>
      <c r="DZ135" s="67"/>
      <c r="EA135" s="85"/>
      <c r="EB135" s="44">
        <v>122000</v>
      </c>
      <c r="EC135" s="44" cm="1">
        <f t="array" aca="1" ref="EC135" ca="1">_FV(EE135,"Volume")</f>
        <v>263900</v>
      </c>
      <c r="EE135" s="2" t="e" vm="134">
        <v>#VALUE!</v>
      </c>
      <c r="EG135" s="10" cm="1">
        <f t="array" aca="1" ref="EG135" ca="1">_FV(EE135,"Ações em circulação",TRUE)</f>
        <v>122763400</v>
      </c>
      <c r="EH135" s="21">
        <f>VLOOKUP(BH135,Fundamentus!A:U,5,FALSE)</f>
        <v>0.182</v>
      </c>
      <c r="EI135" s="2">
        <f t="shared" ca="1" si="180"/>
        <v>647543208.79120886</v>
      </c>
      <c r="EJ135" s="20">
        <v>-140214014.95274723</v>
      </c>
      <c r="EK135" s="20">
        <f t="shared" ca="1" si="181"/>
        <v>-138768509.64395607</v>
      </c>
      <c r="EM135" s="40" t="str">
        <f>IF(VLOOKUP(BH135,Fundamentus!A:U,3,FALSE)&lt;15,"Bom",IF(VLOOKUP(BH135,Fundamentus!A:U,3,FALSE)&gt;15,"Ruim","n/a"))</f>
        <v>Bom</v>
      </c>
      <c r="EN135" s="36" t="str">
        <f>IF(VLOOKUP(BH135,Fundamentus!A:U,4,FALSE)&lt;1,"Baixo",IF(VLOOKUP(BH135,Fundamentus!A:U,4,FALSE)&lt;1.5,"Moderado",IF(VLOOKUP(BH135,Fundamentus!A:U,4,FALSE)&gt;1.5,"Alto","n/a")))</f>
        <v>Alto</v>
      </c>
      <c r="EO135" s="20" t="str">
        <f>IF(VLOOKUP(BH135,Fundamentus!A:U,8,FALSE)&lt;0,"Risco elevado",IF(VLOOKUP(BH135,Fundamentus!A:U,8,FALSE)&lt;1,"Saudável",IF(VLOOKUP(BH135,Fundamentus!A:U,8,FALSE)&lt;3,"Estável",IF(VLOOKUP(BH135,Fundamentus!A:U,8,FALSE)&gt;3,"Alerta","n/a"))))</f>
        <v>Alerta</v>
      </c>
      <c r="EP135" s="36" t="str">
        <f t="shared" si="182"/>
        <v>Ruim</v>
      </c>
      <c r="EQ135" s="20" t="str">
        <f>IF(VLOOKUP(BH135,Fundamentus!A:U,12,FALSE)&lt;2,"Subvalorizada",IF(VLOOKUP(BH135,Fundamentus!A:U,12,FALSE)&lt;6,"Muita barata",IF(VLOOKUP(BH135,Fundamentus!A:U,12,FALSE)&lt;6,"Barata",IF(VLOOKUP(BH135,Fundamentus!A:U,12,FALSE)&lt;8,"Atrativa",IF(VLOOKUP(BH135,Fundamentus!A:U,12,FALSE)&gt;8,"Supervalorizada","n/a")))))</f>
        <v>Muita barata</v>
      </c>
      <c r="ES135" s="20" t="str">
        <f>IF(VLOOKUP(BH135,Fundamentus!A:U,17,FALSE)&lt;0.1,"Fraco retorno",IF(VLOOKUP(BH135,Fundamentus!A:U,17,FALSE)&gt;0.1,"Bom retorno","n/a"))</f>
        <v>Fraco retorno</v>
      </c>
      <c r="ET135" s="20" t="str">
        <f>IF(VLOOKUP(BH135,Fundamentus!A:U,16,FALSE)&lt;0.1,"Ineficiente",IF(VLOOKUP(BH135,Fundamentus!A:U,16,FALSE)&gt;0.1,"Eficiente","n/a"))</f>
        <v>Ineficiente</v>
      </c>
      <c r="EU135" s="41" t="str">
        <f>IF(VLOOKUP(BH135,Fundamentus!A:U,16,FALSE)&lt;0.1,"Oper. Ineficiente",IF(VLOOKUP(BH135,Fundamentus!A:U,16,FALSE)&gt;0.1,"Oper.Eficiente","n/a"))</f>
        <v>Oper. Ineficiente</v>
      </c>
      <c r="EV135" s="42">
        <f>VLOOKUP(BH135,Fundamentus!A:U,14,FALSE)</f>
        <v>-0.21429999999999999</v>
      </c>
      <c r="EW135" s="20" t="str">
        <f>IF(VLOOKUP(BH135,Fundamentus!A:U,21,FALSE)&lt;0,"Negativo",IF(VLOOKUP(BH135,Fundamentus!A:U,21,FALSE)&lt;0.05,"Fraco",IF(VLOOKUP(BH135,Fundamentus!A:U,21,FALSE)&lt;0.1,"Bom",IF(VLOOKUP(BH135,Fundamentus!A:U,21,FALSE)&gt;0.1,"Muito bom","n/a"))))</f>
        <v>Negativo</v>
      </c>
      <c r="EY135" s="37" t="str">
        <f>IF(VLOOKUP(BH135,Fundamentus!A:U,15,FALSE)&gt;1,"Bom",IF(VLOOKUP(BH135,Fundamentus!A:U,15,FALSE)&lt;1,"Ruim","n/a"))</f>
        <v>Bom</v>
      </c>
      <c r="EZ135" s="20" t="str">
        <f>IF(VLOOKUP(BH135,Fundamentus!A:U,20,FALSE)&lt;0.5,"Baixa",IF(VLOOKUP(BH135,Fundamentus!A:U,20,FALSE)&lt;1,"Moderada",IF(VLOOKUP(BH135,Fundamentus!A:U,20,FALSE)&lt;2,"Alerta",IF(VLOOKUP(BH135,Fundamentus!A:U,20,FALSE)&gt;2,"Alta","n/a"))))</f>
        <v>Alerta</v>
      </c>
      <c r="FA135" s="10"/>
    </row>
    <row r="136" spans="1:157" s="2" customFormat="1" ht="11.25" hidden="1" x14ac:dyDescent="0.2">
      <c r="A136" s="4">
        <v>11.42</v>
      </c>
      <c r="B136" s="4">
        <v>11.27</v>
      </c>
      <c r="C136" s="4">
        <v>11.3</v>
      </c>
      <c r="D136" s="4">
        <v>10.99</v>
      </c>
      <c r="E136" s="4">
        <v>10.7</v>
      </c>
      <c r="F136" s="4">
        <v>10</v>
      </c>
      <c r="G136" s="4">
        <v>9.99</v>
      </c>
      <c r="H136" s="4">
        <v>10.34</v>
      </c>
      <c r="I136" s="4">
        <v>10.66</v>
      </c>
      <c r="J136" s="4">
        <v>10.59</v>
      </c>
      <c r="K136" s="4">
        <v>10.73</v>
      </c>
      <c r="L136" s="4">
        <v>11.06</v>
      </c>
      <c r="M136" s="4">
        <v>10.62</v>
      </c>
      <c r="N136" s="4">
        <v>10.19</v>
      </c>
      <c r="O136" s="4">
        <v>10.18</v>
      </c>
      <c r="P136" s="4">
        <v>10.06</v>
      </c>
      <c r="Q136" s="4">
        <v>10.55</v>
      </c>
      <c r="R136" s="4">
        <v>10.49</v>
      </c>
      <c r="S136" s="4">
        <v>10.48</v>
      </c>
      <c r="T136" s="4">
        <v>10.77</v>
      </c>
      <c r="U136" s="4">
        <v>10.43</v>
      </c>
      <c r="V136" s="4">
        <v>10.87</v>
      </c>
      <c r="W136" s="4">
        <v>10.86</v>
      </c>
      <c r="X136" s="4">
        <v>10.47</v>
      </c>
      <c r="Y136" s="4">
        <v>10.15</v>
      </c>
      <c r="Z136" s="4">
        <v>10.08</v>
      </c>
      <c r="AA136" s="4">
        <v>10.17</v>
      </c>
      <c r="AB136" s="4">
        <v>11.45</v>
      </c>
      <c r="AC136" s="4">
        <v>11.06</v>
      </c>
      <c r="AD136" s="4">
        <v>10.99</v>
      </c>
      <c r="AE136" s="4">
        <v>11.46</v>
      </c>
      <c r="AF136" s="4">
        <v>11.57</v>
      </c>
      <c r="AG136" s="4">
        <v>11.3</v>
      </c>
      <c r="AH136" s="4">
        <v>10.62</v>
      </c>
      <c r="AI136" s="4">
        <v>10.32</v>
      </c>
      <c r="AJ136" s="4">
        <v>9.75</v>
      </c>
      <c r="AK136" s="4">
        <v>9.41</v>
      </c>
      <c r="AL136" s="4">
        <v>9.69</v>
      </c>
      <c r="AM136" s="4">
        <v>9.81</v>
      </c>
      <c r="AN136" s="4">
        <v>9.6199999999999992</v>
      </c>
      <c r="AO136" s="4">
        <v>9.35</v>
      </c>
      <c r="AP136" s="4">
        <v>9.73</v>
      </c>
      <c r="AQ136" s="4">
        <v>8.9499999999999993</v>
      </c>
      <c r="AR136" s="4">
        <v>9.17</v>
      </c>
      <c r="AS136" s="4">
        <v>9.2200000000000006</v>
      </c>
      <c r="AT136" s="4">
        <v>9.36</v>
      </c>
      <c r="AU136" s="4">
        <v>9.4499999999999993</v>
      </c>
      <c r="AV136" s="4">
        <v>9.34</v>
      </c>
      <c r="AW136" s="4">
        <v>8.35</v>
      </c>
      <c r="AX136" s="4">
        <v>8.16</v>
      </c>
      <c r="AY136" s="12">
        <v>8.3000000000000007</v>
      </c>
      <c r="AZ136" s="12">
        <v>8.59</v>
      </c>
      <c r="BA136" s="12">
        <v>8.41</v>
      </c>
      <c r="BB136" s="18">
        <v>8.35</v>
      </c>
      <c r="BC136" s="63">
        <v>8.67</v>
      </c>
      <c r="BD136" s="63">
        <v>8.51</v>
      </c>
      <c r="BE136" s="63">
        <v>8.36</v>
      </c>
      <c r="BF136" s="63">
        <v>9.2200000000000006</v>
      </c>
      <c r="BG136" s="91" cm="1">
        <f t="array" aca="1" ref="BG136" ca="1">_FV(EE136,"Preço")</f>
        <v>9.19</v>
      </c>
      <c r="BH136" s="93" t="s">
        <v>133</v>
      </c>
      <c r="BI136" s="32" cm="1">
        <f t="array" aca="1" ref="BI136" ca="1">_FV(EE136,"Beta")</f>
        <v>0.69589999999999996</v>
      </c>
      <c r="BJ136" s="96" cm="1">
        <f t="array" aca="1" ref="BJ136" ca="1">_FV(EE136,"Variação (%)",TRUE)</f>
        <v>-6.4859999999999996E-3</v>
      </c>
      <c r="BK136" s="49"/>
      <c r="BL136" s="49"/>
      <c r="BN136" s="32"/>
      <c r="BO136" s="20" cm="1">
        <f t="array" aca="1" ref="BO136" ca="1">_FV(EE136,"Baixo")</f>
        <v>9.14</v>
      </c>
      <c r="BP136" s="20" cm="1">
        <f t="array" aca="1" ref="BP136" ca="1">_FV(EE136,"Alto")</f>
        <v>9.3000000000000007</v>
      </c>
      <c r="BQ136" s="32"/>
      <c r="BR136" s="74">
        <f ca="1">SQRT(22.5*(BG136/VLOOKUP(BH136,Fundamentus!A:U,3,FALSE))*(BG136/VLOOKUP(BH136,Fundamentus!A:U,4,FALSE)))</f>
        <v>22.245737754708351</v>
      </c>
      <c r="BT136" s="73">
        <f t="shared" ca="1" si="158"/>
        <v>-3.2537960954448085E-3</v>
      </c>
      <c r="BU136" s="36">
        <f t="shared" si="159"/>
        <v>-0.26795096322241685</v>
      </c>
      <c r="BV136" s="8"/>
      <c r="BW136" s="72">
        <f t="shared" si="160"/>
        <v>8.16</v>
      </c>
      <c r="BX136" s="72">
        <f t="shared" si="161"/>
        <v>10.033793103448277</v>
      </c>
      <c r="BY136" s="72">
        <f t="shared" si="162"/>
        <v>11.57</v>
      </c>
      <c r="BZ136" s="17"/>
      <c r="CA136" s="17"/>
      <c r="CB136" s="43">
        <f t="shared" si="163"/>
        <v>8.390597870602587</v>
      </c>
      <c r="CC136" s="18">
        <f t="shared" si="164"/>
        <v>9.0406747891283885</v>
      </c>
      <c r="CD136" s="43">
        <f t="shared" si="165"/>
        <v>9.69075170765419</v>
      </c>
      <c r="CE136" s="98">
        <f t="shared" ca="1" si="166"/>
        <v>0.22970391136212026</v>
      </c>
      <c r="CF136" s="17"/>
      <c r="CG136" s="20">
        <f t="shared" si="167"/>
        <v>4.32</v>
      </c>
      <c r="CH136" s="20">
        <f t="shared" si="168"/>
        <v>6.24</v>
      </c>
      <c r="CI136" s="20">
        <f t="shared" si="169"/>
        <v>7.73</v>
      </c>
      <c r="CJ136" s="49">
        <f t="shared" si="170"/>
        <v>9.65</v>
      </c>
      <c r="CK136" s="20">
        <f t="shared" si="171"/>
        <v>11.14</v>
      </c>
      <c r="CL136" s="20">
        <f t="shared" si="172"/>
        <v>13.06</v>
      </c>
      <c r="CM136" s="20">
        <f t="shared" si="173"/>
        <v>14.55</v>
      </c>
      <c r="CN136" s="2" cm="1">
        <f t="array" aca="1" ref="CN136" ca="1">MAX(_xlfn._xlws.FILTER(CG136:CM136,CG136:CM136&lt;BG136))</f>
        <v>7.73</v>
      </c>
      <c r="CO136" s="2" cm="1">
        <f t="array" aca="1" ref="CO136" ca="1">MIN(_xlfn._xlws.FILTER($CG136:$CM136,$CG136:$CM136&gt;BG136))</f>
        <v>9.65</v>
      </c>
      <c r="CP136" s="19">
        <f t="shared" ca="1" si="141"/>
        <v>0.24838292367399739</v>
      </c>
      <c r="CQ136" s="23">
        <f t="shared" ca="1" si="142"/>
        <v>-0.1241914618369987</v>
      </c>
      <c r="CR136" s="23">
        <f t="shared" ca="1" si="143"/>
        <v>-8.2794307891332464E-2</v>
      </c>
      <c r="CS136" s="23">
        <f t="shared" ca="1" si="144"/>
        <v>-4.9676584734799481E-2</v>
      </c>
      <c r="CT136" s="23">
        <f t="shared" ca="1" si="145"/>
        <v>-2.7598102630444155E-2</v>
      </c>
      <c r="CU136" s="23">
        <f t="shared" ca="1" si="146"/>
        <v>-1.4610760216117494E-2</v>
      </c>
      <c r="CV136" s="23">
        <f t="shared" ca="1" si="147"/>
        <v>-7.5267552628484058E-3</v>
      </c>
      <c r="CW136" s="23">
        <f t="shared" ca="1" si="148"/>
        <v>-3.821275748830729E-3</v>
      </c>
      <c r="CX136" s="24">
        <f t="shared" ca="1" si="149"/>
        <v>3.821275748830729E-3</v>
      </c>
      <c r="CY136" s="24">
        <f t="shared" ca="1" si="150"/>
        <v>7.5267552628484058E-3</v>
      </c>
      <c r="CZ136" s="24">
        <f t="shared" ca="1" si="151"/>
        <v>1.4610760216117494E-2</v>
      </c>
      <c r="DA136" s="24">
        <f t="shared" ca="1" si="152"/>
        <v>2.7598102630444155E-2</v>
      </c>
      <c r="DB136" s="24">
        <f t="shared" ca="1" si="153"/>
        <v>4.9676584734799481E-2</v>
      </c>
      <c r="DC136" s="24">
        <f t="shared" ca="1" si="154"/>
        <v>8.2794307891332464E-2</v>
      </c>
      <c r="DD136" s="24">
        <f t="shared" ca="1" si="155"/>
        <v>0.1241914618369987</v>
      </c>
      <c r="DF136" s="19" cm="1">
        <f t="array" aca="1" ref="DF136" ca="1">MAX(_xlfn._xlws.FILTER(CQ136:DD136,CQ136:DD136&lt;BJ136))</f>
        <v>-7.5267552628484058E-3</v>
      </c>
      <c r="DG136" s="19" cm="1">
        <f t="array" aca="1" ref="DG136" ca="1">MIN(_xlfn._xlws.FILTER(CQ136:DD136,CQ136:DD136&gt;BJ136))</f>
        <v>-3.821275748830729E-3</v>
      </c>
      <c r="DH136" s="2" cm="1">
        <f t="array" aca="1" ref="DH136" ca="1">_FV(EE136,"Fechamento anterior",TRUE)</f>
        <v>9.25</v>
      </c>
      <c r="DI136" s="36">
        <f t="shared" ca="1" si="174"/>
        <v>0.28073796452702815</v>
      </c>
      <c r="DJ136" s="18">
        <f t="shared" ca="1" si="156"/>
        <v>9.1803775138186516</v>
      </c>
      <c r="DK136" s="18">
        <f t="shared" ca="1" si="157"/>
        <v>9.2146531993233154</v>
      </c>
      <c r="DL136" s="9"/>
      <c r="DM136" s="9"/>
      <c r="DN136" s="9"/>
      <c r="DO136" s="9"/>
      <c r="DP136" s="79">
        <v>4.7564927106036074E-3</v>
      </c>
      <c r="DQ136" s="79">
        <v>2.8340769067346498E-2</v>
      </c>
      <c r="DR136" s="79">
        <v>3.6800644011270225E-3</v>
      </c>
      <c r="DS136" s="79">
        <f t="shared" ca="1" si="175"/>
        <v>3.7054795140176768E-3</v>
      </c>
      <c r="DT136" s="47"/>
      <c r="DU136" s="43">
        <f t="shared" si="176"/>
        <v>0.32503845926290059</v>
      </c>
      <c r="DV136" s="83">
        <f t="shared" ca="1" si="177"/>
        <v>1.1219999999999999</v>
      </c>
      <c r="DW136" s="83">
        <f t="shared" ca="1" si="178"/>
        <v>1.3445</v>
      </c>
      <c r="DX136" s="83">
        <f t="shared" ca="1" si="179"/>
        <v>-0.22250000000000014</v>
      </c>
      <c r="DY136" s="67"/>
      <c r="DZ136" s="67"/>
      <c r="EA136" s="85"/>
      <c r="EB136" s="44">
        <v>6736300</v>
      </c>
      <c r="EC136" s="44" cm="1">
        <f t="array" aca="1" ref="EC136" ca="1">_FV(EE136,"Volume")</f>
        <v>5462200</v>
      </c>
      <c r="EE136" s="2" t="e" vm="135">
        <v>#VALUE!</v>
      </c>
      <c r="EG136" s="10" cm="1">
        <f t="array" aca="1" ref="EG136" ca="1">_FV(EE136,"Ações em circulação",TRUE)</f>
        <v>993705800</v>
      </c>
      <c r="EH136" s="21">
        <f>VLOOKUP(BH136,Fundamentus!A:U,5,FALSE)</f>
        <v>0.13400000000000001</v>
      </c>
      <c r="EI136" s="2">
        <f t="shared" ca="1" si="180"/>
        <v>68150420164.1791</v>
      </c>
      <c r="EJ136" s="20">
        <v>3322922532.3402982</v>
      </c>
      <c r="EK136" s="20">
        <f t="shared" ca="1" si="181"/>
        <v>3312110419.979104</v>
      </c>
      <c r="EM136" s="40" t="str">
        <f>IF(VLOOKUP(BH136,Fundamentus!A:U,3,FALSE)&lt;15,"Bom",IF(VLOOKUP(BH136,Fundamentus!A:U,3,FALSE)&gt;15,"Ruim","n/a"))</f>
        <v>Bom</v>
      </c>
      <c r="EN136" s="36" t="str">
        <f>IF(VLOOKUP(BH136,Fundamentus!A:U,4,FALSE)&lt;1,"Baixo",IF(VLOOKUP(BH136,Fundamentus!A:U,4,FALSE)&lt;1.5,"Moderado",IF(VLOOKUP(BH136,Fundamentus!A:U,4,FALSE)&gt;1.5,"Alto","n/a")))</f>
        <v>Baixo</v>
      </c>
      <c r="EO136" s="20" t="str">
        <f>IF(VLOOKUP(BH136,Fundamentus!A:U,8,FALSE)&lt;0,"Risco elevado",IF(VLOOKUP(BH136,Fundamentus!A:U,8,FALSE)&lt;1,"Saudável",IF(VLOOKUP(BH136,Fundamentus!A:U,8,FALSE)&lt;3,"Estável",IF(VLOOKUP(BH136,Fundamentus!A:U,8,FALSE)&gt;3,"Alerta","n/a"))))</f>
        <v>Saudável</v>
      </c>
      <c r="EP136" s="36" t="str">
        <f t="shared" si="182"/>
        <v>Ruim</v>
      </c>
      <c r="EQ136" s="20" t="str">
        <f>IF(VLOOKUP(BH136,Fundamentus!A:U,12,FALSE)&lt;2,"Subvalorizada",IF(VLOOKUP(BH136,Fundamentus!A:U,12,FALSE)&lt;6,"Muita barata",IF(VLOOKUP(BH136,Fundamentus!A:U,12,FALSE)&lt;6,"Barata",IF(VLOOKUP(BH136,Fundamentus!A:U,12,FALSE)&lt;8,"Atrativa",IF(VLOOKUP(BH136,Fundamentus!A:U,12,FALSE)&gt;8,"Supervalorizada","n/a")))))</f>
        <v>Subvalorizada</v>
      </c>
      <c r="ES136" s="20" t="str">
        <f>IF(VLOOKUP(BH136,Fundamentus!A:U,17,FALSE)&lt;0.1,"Fraco retorno",IF(VLOOKUP(BH136,Fundamentus!A:U,17,FALSE)&gt;0.1,"Bom retorno","n/a"))</f>
        <v>Fraco retorno</v>
      </c>
      <c r="ET136" s="20" t="str">
        <f>IF(VLOOKUP(BH136,Fundamentus!A:U,16,FALSE)&lt;0.1,"Ineficiente",IF(VLOOKUP(BH136,Fundamentus!A:U,16,FALSE)&gt;0.1,"Eficiente","n/a"))</f>
        <v>Ineficiente</v>
      </c>
      <c r="EU136" s="41" t="str">
        <f>IF(VLOOKUP(BH136,Fundamentus!A:U,16,FALSE)&lt;0.1,"Oper. Ineficiente",IF(VLOOKUP(BH136,Fundamentus!A:U,16,FALSE)&gt;0.1,"Oper.Eficiente","n/a"))</f>
        <v>Oper. Ineficiente</v>
      </c>
      <c r="EV136" s="42">
        <f>VLOOKUP(BH136,Fundamentus!A:U,14,FALSE)</f>
        <v>4.8599999999999997E-2</v>
      </c>
      <c r="EW136" s="20" t="str">
        <f>IF(VLOOKUP(BH136,Fundamentus!A:U,21,FALSE)&lt;0,"Negativo",IF(VLOOKUP(BH136,Fundamentus!A:U,21,FALSE)&lt;0.05,"Fraco",IF(VLOOKUP(BH136,Fundamentus!A:U,21,FALSE)&lt;0.1,"Bom",IF(VLOOKUP(BH136,Fundamentus!A:U,21,FALSE)&gt;0.1,"Muito bom","n/a"))))</f>
        <v>Fraco</v>
      </c>
      <c r="EY136" s="37" t="str">
        <f>IF(VLOOKUP(BH136,Fundamentus!A:U,15,FALSE)&gt;1,"Bom",IF(VLOOKUP(BH136,Fundamentus!A:U,15,FALSE)&lt;1,"Ruim","n/a"))</f>
        <v>Bom</v>
      </c>
      <c r="EZ136" s="20" t="str">
        <f>IF(VLOOKUP(BH136,Fundamentus!A:U,20,FALSE)&lt;0.5,"Baixa",IF(VLOOKUP(BH136,Fundamentus!A:U,20,FALSE)&lt;1,"Moderada",IF(VLOOKUP(BH136,Fundamentus!A:U,20,FALSE)&lt;2,"Alerta",IF(VLOOKUP(BH136,Fundamentus!A:U,20,FALSE)&gt;2,"Alta","n/a"))))</f>
        <v>Moderada</v>
      </c>
      <c r="FA136" s="10"/>
    </row>
    <row r="137" spans="1:157" s="2" customFormat="1" ht="11.25" hidden="1" x14ac:dyDescent="0.2">
      <c r="A137" s="4">
        <v>4.57</v>
      </c>
      <c r="B137" s="4">
        <v>4.54</v>
      </c>
      <c r="C137" s="4">
        <v>4.46</v>
      </c>
      <c r="D137" s="4">
        <v>4.4000000000000004</v>
      </c>
      <c r="E137" s="4">
        <v>4.3099999999999996</v>
      </c>
      <c r="F137" s="4">
        <v>4.08</v>
      </c>
      <c r="G137" s="4">
        <v>4.16</v>
      </c>
      <c r="H137" s="4">
        <v>4.0199999999999996</v>
      </c>
      <c r="I137" s="4">
        <v>3.99</v>
      </c>
      <c r="J137" s="4">
        <v>3.9</v>
      </c>
      <c r="K137" s="4">
        <v>4</v>
      </c>
      <c r="L137" s="4">
        <v>4.1399999999999997</v>
      </c>
      <c r="M137" s="4">
        <v>4.1900000000000004</v>
      </c>
      <c r="N137" s="4">
        <v>4.1399999999999997</v>
      </c>
      <c r="O137" s="4">
        <v>4.2</v>
      </c>
      <c r="P137" s="4">
        <v>4.0999999999999996</v>
      </c>
      <c r="Q137" s="4">
        <v>4.17</v>
      </c>
      <c r="R137" s="4">
        <v>4.37</v>
      </c>
      <c r="S137" s="4">
        <v>4.4000000000000004</v>
      </c>
      <c r="T137" s="4">
        <v>4.18</v>
      </c>
      <c r="U137" s="4">
        <v>4.21</v>
      </c>
      <c r="V137" s="4">
        <v>4.1900000000000004</v>
      </c>
      <c r="W137" s="4">
        <v>4.18</v>
      </c>
      <c r="X137" s="4">
        <v>4.1100000000000003</v>
      </c>
      <c r="Y137" s="4">
        <v>4.12</v>
      </c>
      <c r="Z137" s="4">
        <v>4.1500000000000004</v>
      </c>
      <c r="AA137" s="4">
        <v>4.05</v>
      </c>
      <c r="AB137" s="4">
        <v>4.04</v>
      </c>
      <c r="AC137" s="4">
        <v>4</v>
      </c>
      <c r="AD137" s="4">
        <v>4.03</v>
      </c>
      <c r="AE137" s="4">
        <v>4.12</v>
      </c>
      <c r="AF137" s="4">
        <v>4</v>
      </c>
      <c r="AG137" s="4">
        <v>3.98</v>
      </c>
      <c r="AH137" s="4">
        <v>4</v>
      </c>
      <c r="AI137" s="4">
        <v>4.0999999999999996</v>
      </c>
      <c r="AJ137" s="4">
        <v>4.0599999999999996</v>
      </c>
      <c r="AK137" s="4">
        <v>3.95</v>
      </c>
      <c r="AL137" s="4">
        <v>4</v>
      </c>
      <c r="AM137" s="4">
        <v>4</v>
      </c>
      <c r="AN137" s="4">
        <v>4.1500000000000004</v>
      </c>
      <c r="AO137" s="4">
        <v>4.0999999999999996</v>
      </c>
      <c r="AP137" s="4">
        <v>4.12</v>
      </c>
      <c r="AQ137" s="4">
        <v>4.0999999999999996</v>
      </c>
      <c r="AR137" s="4">
        <v>4.09</v>
      </c>
      <c r="AS137" s="4">
        <v>4</v>
      </c>
      <c r="AT137" s="4">
        <v>3.99</v>
      </c>
      <c r="AU137" s="4">
        <v>4.0199999999999996</v>
      </c>
      <c r="AV137" s="4">
        <v>3.94</v>
      </c>
      <c r="AW137" s="4">
        <v>3.94</v>
      </c>
      <c r="AX137" s="4">
        <v>3.9</v>
      </c>
      <c r="AY137" s="12">
        <v>3.73</v>
      </c>
      <c r="AZ137" s="12">
        <v>3.76</v>
      </c>
      <c r="BA137" s="12">
        <v>3.9</v>
      </c>
      <c r="BB137" s="18">
        <v>3.75</v>
      </c>
      <c r="BC137" s="63">
        <v>4.09</v>
      </c>
      <c r="BD137" s="63">
        <v>4.05</v>
      </c>
      <c r="BE137" s="63">
        <v>3.85</v>
      </c>
      <c r="BF137" s="63">
        <v>3.99</v>
      </c>
      <c r="BG137" s="91" cm="1">
        <f t="array" aca="1" ref="BG137" ca="1">_FV(EE137,"Preço")</f>
        <v>3.98</v>
      </c>
      <c r="BH137" s="93" t="s">
        <v>134</v>
      </c>
      <c r="BI137" s="32" t="e" cm="1" vm="136">
        <f t="array" ref="BI137">_FV(EE137,"Beta")</f>
        <v>#VALUE!</v>
      </c>
      <c r="BJ137" s="96" cm="1">
        <f t="array" aca="1" ref="BJ137" ca="1">_FV(EE137,"Variação (%)",TRUE)</f>
        <v>0</v>
      </c>
      <c r="BK137" s="49"/>
      <c r="BL137" s="49"/>
      <c r="BN137" s="32"/>
      <c r="BO137" s="20" cm="1">
        <f t="array" aca="1" ref="BO137" ca="1">_FV(EE137,"Baixo")</f>
        <v>3.98</v>
      </c>
      <c r="BP137" s="20" cm="1">
        <f t="array" aca="1" ref="BP137" ca="1">_FV(EE137,"Alto")</f>
        <v>3.98</v>
      </c>
      <c r="BQ137" s="32"/>
      <c r="BR137" s="74" t="e">
        <f ca="1">SQRT(22.5*(BG137/VLOOKUP(BH137,Fundamentus!A:U,3,FALSE))*(BG137/VLOOKUP(BH137,Fundamentus!A:U,4,FALSE)))</f>
        <v>#NUM!</v>
      </c>
      <c r="BT137" s="73">
        <f t="shared" ca="1" si="158"/>
        <v>-2.5062656641604585E-3</v>
      </c>
      <c r="BU137" s="36">
        <f t="shared" si="159"/>
        <v>-0.15754923413566743</v>
      </c>
      <c r="BV137" s="8"/>
      <c r="BW137" s="72">
        <f t="shared" si="160"/>
        <v>3.73</v>
      </c>
      <c r="BX137" s="72">
        <f t="shared" si="161"/>
        <v>4.0875862068965523</v>
      </c>
      <c r="BY137" s="72">
        <f t="shared" si="162"/>
        <v>4.57</v>
      </c>
      <c r="BZ137" s="17"/>
      <c r="CA137" s="17"/>
      <c r="CB137" s="43">
        <f t="shared" si="163"/>
        <v>3.6902964989656009</v>
      </c>
      <c r="CC137" s="18">
        <f t="shared" si="164"/>
        <v>3.8722305529522032</v>
      </c>
      <c r="CD137" s="43">
        <f t="shared" si="165"/>
        <v>4.0541646069388051</v>
      </c>
      <c r="CE137" s="98">
        <f t="shared" ca="1" si="166"/>
        <v>0.59235445309063994</v>
      </c>
      <c r="CF137" s="17"/>
      <c r="CG137" s="20">
        <f t="shared" si="167"/>
        <v>2.7833333333333328</v>
      </c>
      <c r="CH137" s="20">
        <f t="shared" si="168"/>
        <v>3.2566666666666664</v>
      </c>
      <c r="CI137" s="20">
        <f t="shared" si="169"/>
        <v>3.6233333333333331</v>
      </c>
      <c r="CJ137" s="49">
        <f t="shared" si="170"/>
        <v>4.0966666666666667</v>
      </c>
      <c r="CK137" s="20">
        <f t="shared" si="171"/>
        <v>4.4633333333333329</v>
      </c>
      <c r="CL137" s="20">
        <f t="shared" si="172"/>
        <v>4.9366666666666674</v>
      </c>
      <c r="CM137" s="20">
        <f t="shared" si="173"/>
        <v>5.3033333333333337</v>
      </c>
      <c r="CN137" s="2" cm="1">
        <f t="array" aca="1" ref="CN137" ca="1">MAX(_xlfn._xlws.FILTER(CG137:CM137,CG137:CM137&lt;BG137))</f>
        <v>3.6233333333333331</v>
      </c>
      <c r="CO137" s="2" cm="1">
        <f t="array" aca="1" ref="CO137" ca="1">MIN(_xlfn._xlws.FILTER($CG137:$CM137,$CG137:$CM137&gt;BG137))</f>
        <v>4.0966666666666667</v>
      </c>
      <c r="CP137" s="19">
        <f t="shared" ca="1" si="141"/>
        <v>0.13063477460901574</v>
      </c>
      <c r="CQ137" s="23">
        <f t="shared" ca="1" si="142"/>
        <v>-6.5317387304507868E-2</v>
      </c>
      <c r="CR137" s="23">
        <f t="shared" ca="1" si="143"/>
        <v>-4.354492486967191E-2</v>
      </c>
      <c r="CS137" s="23">
        <f t="shared" ca="1" si="144"/>
        <v>-2.6126954921803149E-2</v>
      </c>
      <c r="CT137" s="23">
        <f t="shared" ca="1" si="145"/>
        <v>-1.4514974956557304E-2</v>
      </c>
      <c r="CU137" s="23">
        <f t="shared" ca="1" si="146"/>
        <v>-7.6843985064126907E-3</v>
      </c>
      <c r="CV137" s="23">
        <f t="shared" ca="1" si="147"/>
        <v>-3.9586295336065374E-3</v>
      </c>
      <c r="CW137" s="23">
        <f t="shared" ca="1" si="148"/>
        <v>-2.0097657632156267E-3</v>
      </c>
      <c r="CX137" s="24">
        <f t="shared" ca="1" si="149"/>
        <v>2.0097657632156267E-3</v>
      </c>
      <c r="CY137" s="24">
        <f t="shared" ca="1" si="150"/>
        <v>3.9586295336065374E-3</v>
      </c>
      <c r="CZ137" s="24">
        <f t="shared" ca="1" si="151"/>
        <v>7.6843985064126907E-3</v>
      </c>
      <c r="DA137" s="24">
        <f t="shared" ca="1" si="152"/>
        <v>1.4514974956557304E-2</v>
      </c>
      <c r="DB137" s="24">
        <f t="shared" ca="1" si="153"/>
        <v>2.6126954921803149E-2</v>
      </c>
      <c r="DC137" s="24">
        <f t="shared" ca="1" si="154"/>
        <v>4.354492486967191E-2</v>
      </c>
      <c r="DD137" s="24">
        <f t="shared" ca="1" si="155"/>
        <v>6.5317387304507868E-2</v>
      </c>
      <c r="DF137" s="19" cm="1">
        <f t="array" aca="1" ref="DF137" ca="1">MAX(_xlfn._xlws.FILTER(CQ137:DD137,CQ137:DD137&lt;BJ137))</f>
        <v>-2.0097657632156267E-3</v>
      </c>
      <c r="DG137" s="19" cm="1">
        <f t="array" aca="1" ref="DG137" ca="1">MIN(_xlfn._xlws.FILTER(CQ137:DD137,CQ137:DD137&gt;BJ137))</f>
        <v>2.0097657632156267E-3</v>
      </c>
      <c r="DH137" s="2" cm="1">
        <f t="array" aca="1" ref="DH137" ca="1">_FV(EE137,"Fechamento anterior",TRUE)</f>
        <v>3.98</v>
      </c>
      <c r="DI137" s="36">
        <f t="shared" ca="1" si="174"/>
        <v>0.5</v>
      </c>
      <c r="DJ137" s="18">
        <f t="shared" ca="1" si="156"/>
        <v>3.9720011322624016</v>
      </c>
      <c r="DK137" s="18">
        <f t="shared" ca="1" si="157"/>
        <v>3.9879988677375984</v>
      </c>
      <c r="DL137" s="9"/>
      <c r="DM137" s="9"/>
      <c r="DN137" s="9"/>
      <c r="DO137" s="9"/>
      <c r="DP137" s="79">
        <v>1.1637572734829609E-2</v>
      </c>
      <c r="DQ137" s="79">
        <v>4.9944258639910847E-3</v>
      </c>
      <c r="DR137" s="79">
        <v>2.4215398128441617E-3</v>
      </c>
      <c r="DS137" s="79">
        <f t="shared" ca="1" si="175"/>
        <v>4.0195315264312534E-3</v>
      </c>
      <c r="DT137" s="47"/>
      <c r="DU137" s="43">
        <f t="shared" si="176"/>
        <v>9.0967026993301156E-2</v>
      </c>
      <c r="DV137" s="83" t="e" vm="137">
        <f t="shared" ca="1" si="177"/>
        <v>#VALUE!</v>
      </c>
      <c r="DW137" s="83" t="e" vm="137">
        <f t="shared" ca="1" si="178"/>
        <v>#VALUE!</v>
      </c>
      <c r="DX137" s="83" t="e" vm="137">
        <f t="shared" ca="1" si="179"/>
        <v>#VALUE!</v>
      </c>
      <c r="DY137" s="67"/>
      <c r="DZ137" s="67"/>
      <c r="EA137" s="85"/>
      <c r="EB137" s="44">
        <v>700</v>
      </c>
      <c r="EC137" s="44" cm="1">
        <f t="array" aca="1" ref="EC137" ca="1">_FV(EE137,"Volume")</f>
        <v>400</v>
      </c>
      <c r="EE137" s="2" t="e" vm="138">
        <v>#VALUE!</v>
      </c>
      <c r="EG137" s="10" cm="1">
        <f t="array" aca="1" ref="EG137" ca="1">_FV(EE137,"Ações em circulação",TRUE)</f>
        <v>75645290</v>
      </c>
      <c r="EH137" s="21">
        <f>VLOOKUP(BH137,Fundamentus!A:U,5,FALSE)</f>
        <v>0.47299999999999998</v>
      </c>
      <c r="EI137" s="2">
        <f t="shared" ca="1" si="180"/>
        <v>636507936.99788582</v>
      </c>
      <c r="EJ137" s="20">
        <v>-4147696.8206131086</v>
      </c>
      <c r="EK137" s="20">
        <f t="shared" ca="1" si="181"/>
        <v>-4137301.5904862578</v>
      </c>
      <c r="EM137" s="40" t="str">
        <f>IF(VLOOKUP(BH137,Fundamentus!A:U,3,FALSE)&lt;15,"Bom",IF(VLOOKUP(BH137,Fundamentus!A:U,3,FALSE)&gt;15,"Ruim","n/a"))</f>
        <v>Bom</v>
      </c>
      <c r="EN137" s="36" t="str">
        <f>IF(VLOOKUP(BH137,Fundamentus!A:U,4,FALSE)&lt;1,"Baixo",IF(VLOOKUP(BH137,Fundamentus!A:U,4,FALSE)&lt;1.5,"Moderado",IF(VLOOKUP(BH137,Fundamentus!A:U,4,FALSE)&gt;1.5,"Alto","n/a")))</f>
        <v>Baixo</v>
      </c>
      <c r="EO137" s="20" t="str">
        <f>IF(VLOOKUP(BH137,Fundamentus!A:U,8,FALSE)&lt;0,"Risco elevado",IF(VLOOKUP(BH137,Fundamentus!A:U,8,FALSE)&lt;1,"Saudável",IF(VLOOKUP(BH137,Fundamentus!A:U,8,FALSE)&lt;3,"Estável",IF(VLOOKUP(BH137,Fundamentus!A:U,8,FALSE)&gt;3,"Alerta","n/a"))))</f>
        <v>Saudável</v>
      </c>
      <c r="EP137" s="36" t="str">
        <f t="shared" si="182"/>
        <v>Ruim</v>
      </c>
      <c r="EQ137" s="20" t="str">
        <f>IF(VLOOKUP(BH137,Fundamentus!A:U,12,FALSE)&lt;2,"Subvalorizada",IF(VLOOKUP(BH137,Fundamentus!A:U,12,FALSE)&lt;6,"Muita barata",IF(VLOOKUP(BH137,Fundamentus!A:U,12,FALSE)&lt;6,"Barata",IF(VLOOKUP(BH137,Fundamentus!A:U,12,FALSE)&lt;8,"Atrativa",IF(VLOOKUP(BH137,Fundamentus!A:U,12,FALSE)&gt;8,"Supervalorizada","n/a")))))</f>
        <v>Subvalorizada</v>
      </c>
      <c r="ES137" s="20" t="str">
        <f>IF(VLOOKUP(BH137,Fundamentus!A:U,17,FALSE)&lt;0.1,"Fraco retorno",IF(VLOOKUP(BH137,Fundamentus!A:U,17,FALSE)&gt;0.1,"Bom retorno","n/a"))</f>
        <v>Fraco retorno</v>
      </c>
      <c r="ET137" s="20" t="str">
        <f>IF(VLOOKUP(BH137,Fundamentus!A:U,16,FALSE)&lt;0.1,"Ineficiente",IF(VLOOKUP(BH137,Fundamentus!A:U,16,FALSE)&gt;0.1,"Eficiente","n/a"))</f>
        <v>Ineficiente</v>
      </c>
      <c r="EU137" s="41" t="str">
        <f>IF(VLOOKUP(BH137,Fundamentus!A:U,16,FALSE)&lt;0.1,"Oper. Ineficiente",IF(VLOOKUP(BH137,Fundamentus!A:U,16,FALSE)&gt;0.1,"Oper.Eficiente","n/a"))</f>
        <v>Oper. Ineficiente</v>
      </c>
      <c r="EV137" s="42">
        <f>VLOOKUP(BH137,Fundamentus!A:U,14,FALSE)</f>
        <v>-6.4999999999999997E-3</v>
      </c>
      <c r="EW137" s="20" t="str">
        <f>IF(VLOOKUP(BH137,Fundamentus!A:U,21,FALSE)&lt;0,"Negativo",IF(VLOOKUP(BH137,Fundamentus!A:U,21,FALSE)&lt;0.05,"Fraco",IF(VLOOKUP(BH137,Fundamentus!A:U,21,FALSE)&lt;0.1,"Bom",IF(VLOOKUP(BH137,Fundamentus!A:U,21,FALSE)&gt;0.1,"Muito bom","n/a"))))</f>
        <v>Fraco</v>
      </c>
      <c r="EY137" s="37" t="str">
        <f>IF(VLOOKUP(BH137,Fundamentus!A:U,15,FALSE)&gt;1,"Bom",IF(VLOOKUP(BH137,Fundamentus!A:U,15,FALSE)&lt;1,"Ruim","n/a"))</f>
        <v>Bom</v>
      </c>
      <c r="EZ137" s="20" t="str">
        <f>IF(VLOOKUP(BH137,Fundamentus!A:U,20,FALSE)&lt;0.5,"Baixa",IF(VLOOKUP(BH137,Fundamentus!A:U,20,FALSE)&lt;1,"Moderada",IF(VLOOKUP(BH137,Fundamentus!A:U,20,FALSE)&lt;2,"Alerta",IF(VLOOKUP(BH137,Fundamentus!A:U,20,FALSE)&gt;2,"Alta","n/a"))))</f>
        <v>Baixa</v>
      </c>
      <c r="FA137" s="10"/>
    </row>
    <row r="138" spans="1:157" s="2" customFormat="1" ht="11.25" hidden="1" x14ac:dyDescent="0.2">
      <c r="A138" s="4">
        <v>16.72</v>
      </c>
      <c r="B138" s="4">
        <v>18.91</v>
      </c>
      <c r="C138" s="4">
        <v>19.36</v>
      </c>
      <c r="D138" s="4">
        <v>19.02</v>
      </c>
      <c r="E138" s="4">
        <v>18.53</v>
      </c>
      <c r="F138" s="4">
        <v>18.329999999999998</v>
      </c>
      <c r="G138" s="4">
        <v>18.63</v>
      </c>
      <c r="H138" s="4">
        <v>20.55</v>
      </c>
      <c r="I138" s="4">
        <v>22.77</v>
      </c>
      <c r="J138" s="4">
        <v>22.83</v>
      </c>
      <c r="K138" s="4">
        <v>22.46</v>
      </c>
      <c r="L138" s="4">
        <v>20.99</v>
      </c>
      <c r="M138" s="4">
        <v>21.59</v>
      </c>
      <c r="N138" s="4">
        <v>20.95</v>
      </c>
      <c r="O138" s="4">
        <v>21.93</v>
      </c>
      <c r="P138" s="4">
        <v>24.32</v>
      </c>
      <c r="Q138" s="4">
        <v>25.19</v>
      </c>
      <c r="R138" s="4">
        <v>26.23</v>
      </c>
      <c r="S138" s="4">
        <v>25.21</v>
      </c>
      <c r="T138" s="4">
        <v>24.67</v>
      </c>
      <c r="U138" s="4">
        <v>25.12</v>
      </c>
      <c r="V138" s="4">
        <v>24.26</v>
      </c>
      <c r="W138" s="4">
        <v>23.35</v>
      </c>
      <c r="X138" s="4">
        <v>22.77</v>
      </c>
      <c r="Y138" s="4">
        <v>23.87</v>
      </c>
      <c r="Z138" s="4">
        <v>24.41</v>
      </c>
      <c r="AA138" s="4">
        <v>25.82</v>
      </c>
      <c r="AB138" s="4">
        <v>24.1</v>
      </c>
      <c r="AC138" s="4">
        <v>24.95</v>
      </c>
      <c r="AD138" s="4">
        <v>25.21</v>
      </c>
      <c r="AE138" s="4">
        <v>24.88</v>
      </c>
      <c r="AF138" s="4">
        <v>28.32</v>
      </c>
      <c r="AG138" s="4">
        <v>27.79</v>
      </c>
      <c r="AH138" s="4">
        <v>26.03</v>
      </c>
      <c r="AI138" s="4">
        <v>24.8</v>
      </c>
      <c r="AJ138" s="4">
        <v>24.01</v>
      </c>
      <c r="AK138" s="4">
        <v>23.52</v>
      </c>
      <c r="AL138" s="4">
        <v>22.78</v>
      </c>
      <c r="AM138" s="4">
        <v>21.88</v>
      </c>
      <c r="AN138" s="4">
        <v>21.89</v>
      </c>
      <c r="AO138" s="4">
        <v>20.64</v>
      </c>
      <c r="AP138" s="4">
        <v>20.02</v>
      </c>
      <c r="AQ138" s="4">
        <v>19</v>
      </c>
      <c r="AR138" s="4">
        <v>17.93</v>
      </c>
      <c r="AS138" s="4">
        <v>19.18</v>
      </c>
      <c r="AT138" s="4">
        <v>18.11</v>
      </c>
      <c r="AU138" s="4">
        <v>19.760000000000002</v>
      </c>
      <c r="AV138" s="4">
        <v>19.71</v>
      </c>
      <c r="AW138" s="4">
        <v>19.25</v>
      </c>
      <c r="AX138" s="4">
        <v>20.54</v>
      </c>
      <c r="AY138" s="12">
        <v>21.15</v>
      </c>
      <c r="AZ138" s="12">
        <v>22.9</v>
      </c>
      <c r="BA138" s="12">
        <v>22.7</v>
      </c>
      <c r="BB138" s="18">
        <v>20.39</v>
      </c>
      <c r="BC138" s="63">
        <v>20.62</v>
      </c>
      <c r="BD138" s="63">
        <v>21.42</v>
      </c>
      <c r="BE138" s="63">
        <v>20.3</v>
      </c>
      <c r="BF138" s="63">
        <v>20.52</v>
      </c>
      <c r="BG138" s="91" cm="1">
        <f t="array" aca="1" ref="BG138" ca="1">_FV(EE138,"Preço")</f>
        <v>21</v>
      </c>
      <c r="BH138" s="93" t="s">
        <v>135</v>
      </c>
      <c r="BI138" s="32" cm="1">
        <f t="array" aca="1" ref="BI138" ca="1">_FV(EE138,"Beta")</f>
        <v>1.5078</v>
      </c>
      <c r="BJ138" s="96" cm="1">
        <f t="array" aca="1" ref="BJ138" ca="1">_FV(EE138,"Variação (%)",TRUE)</f>
        <v>1.4983E-2</v>
      </c>
      <c r="BK138" s="49"/>
      <c r="BL138" s="49"/>
      <c r="BN138" s="32"/>
      <c r="BO138" s="20" cm="1">
        <f t="array" aca="1" ref="BO138" ca="1">_FV(EE138,"Baixo")</f>
        <v>20.09</v>
      </c>
      <c r="BP138" s="20" cm="1">
        <f t="array" aca="1" ref="BP138" ca="1">_FV(EE138,"Alto")</f>
        <v>21.02</v>
      </c>
      <c r="BQ138" s="32"/>
      <c r="BR138" s="74">
        <f ca="1">SQRT(22.5*(BG138/VLOOKUP(BH138,Fundamentus!A:U,3,FALSE))*(BG138/VLOOKUP(BH138,Fundamentus!A:U,4,FALSE)))</f>
        <v>22.644882372722066</v>
      </c>
      <c r="BT138" s="73">
        <f t="shared" ca="1" si="158"/>
        <v>2.3391812865497099E-2</v>
      </c>
      <c r="BU138" s="36">
        <f t="shared" si="159"/>
        <v>0.21411483253588529</v>
      </c>
      <c r="BV138" s="8"/>
      <c r="BW138" s="72">
        <f t="shared" si="160"/>
        <v>16.72</v>
      </c>
      <c r="BX138" s="72">
        <f t="shared" si="161"/>
        <v>22.122241379310346</v>
      </c>
      <c r="BY138" s="72">
        <f t="shared" si="162"/>
        <v>28.32</v>
      </c>
      <c r="BZ138" s="17"/>
      <c r="CA138" s="17"/>
      <c r="CB138" s="43">
        <f t="shared" si="163"/>
        <v>19.544264101345259</v>
      </c>
      <c r="CC138" s="18">
        <f t="shared" si="164"/>
        <v>20.390609184629852</v>
      </c>
      <c r="CD138" s="43">
        <f t="shared" si="165"/>
        <v>21.236954267914445</v>
      </c>
      <c r="CE138" s="98">
        <f t="shared" ca="1" si="166"/>
        <v>0.72002641405460055</v>
      </c>
      <c r="CF138" s="17"/>
      <c r="CG138" s="20">
        <f t="shared" si="167"/>
        <v>3.7866666666666688</v>
      </c>
      <c r="CH138" s="20">
        <f t="shared" si="168"/>
        <v>10.253333333333334</v>
      </c>
      <c r="CI138" s="20">
        <f t="shared" si="169"/>
        <v>15.38666666666667</v>
      </c>
      <c r="CJ138" s="49">
        <f t="shared" si="170"/>
        <v>21.853333333333335</v>
      </c>
      <c r="CK138" s="20">
        <f t="shared" si="171"/>
        <v>26.986666666666672</v>
      </c>
      <c r="CL138" s="20">
        <f t="shared" si="172"/>
        <v>33.453333333333333</v>
      </c>
      <c r="CM138" s="20">
        <f t="shared" si="173"/>
        <v>38.586666666666673</v>
      </c>
      <c r="CN138" s="2" cm="1">
        <f t="array" aca="1" ref="CN138" ca="1">MAX(_xlfn._xlws.FILTER(CG138:CM138,CG138:CM138&lt;BG138))</f>
        <v>15.38666666666667</v>
      </c>
      <c r="CO138" s="2" cm="1">
        <f t="array" aca="1" ref="CO138" ca="1">MIN(_xlfn._xlws.FILTER($CG138:$CM138,$CG138:$CM138&gt;BG138))</f>
        <v>21.853333333333335</v>
      </c>
      <c r="CP138" s="19">
        <f t="shared" ca="1" si="141"/>
        <v>0.42027729636048505</v>
      </c>
      <c r="CQ138" s="23">
        <f t="shared" ca="1" si="142"/>
        <v>-0.21013864818024253</v>
      </c>
      <c r="CR138" s="23">
        <f t="shared" ca="1" si="143"/>
        <v>-0.14009243212016168</v>
      </c>
      <c r="CS138" s="23">
        <f t="shared" ca="1" si="144"/>
        <v>-8.4055459272097011E-2</v>
      </c>
      <c r="CT138" s="23">
        <f t="shared" ca="1" si="145"/>
        <v>-4.6697477373387225E-2</v>
      </c>
      <c r="CU138" s="23">
        <f t="shared" ca="1" si="146"/>
        <v>-2.4722193903557944E-2</v>
      </c>
      <c r="CV138" s="23">
        <f t="shared" ca="1" si="147"/>
        <v>-1.2735675647287425E-2</v>
      </c>
      <c r="CW138" s="23">
        <f t="shared" ca="1" si="148"/>
        <v>-6.4658045593920781E-3</v>
      </c>
      <c r="CX138" s="24">
        <f t="shared" ca="1" si="149"/>
        <v>6.4658045593920781E-3</v>
      </c>
      <c r="CY138" s="24">
        <f t="shared" ca="1" si="150"/>
        <v>1.2735675647287425E-2</v>
      </c>
      <c r="CZ138" s="24">
        <f t="shared" ca="1" si="151"/>
        <v>2.4722193903557944E-2</v>
      </c>
      <c r="DA138" s="24">
        <f t="shared" ca="1" si="152"/>
        <v>4.6697477373387225E-2</v>
      </c>
      <c r="DB138" s="24">
        <f t="shared" ca="1" si="153"/>
        <v>8.4055459272097011E-2</v>
      </c>
      <c r="DC138" s="24">
        <f t="shared" ca="1" si="154"/>
        <v>0.14009243212016168</v>
      </c>
      <c r="DD138" s="24">
        <f t="shared" ca="1" si="155"/>
        <v>0.21013864818024253</v>
      </c>
      <c r="DF138" s="19" cm="1">
        <f t="array" aca="1" ref="DF138" ca="1">MAX(_xlfn._xlws.FILTER(CQ138:DD138,CQ138:DD138&lt;BJ138))</f>
        <v>1.2735675647287425E-2</v>
      </c>
      <c r="DG138" s="19" cm="1">
        <f t="array" aca="1" ref="DG138" ca="1">MIN(_xlfn._xlws.FILTER(CQ138:DD138,CQ138:DD138&gt;BJ138))</f>
        <v>2.4722193903557944E-2</v>
      </c>
      <c r="DH138" s="2" cm="1">
        <f t="array" aca="1" ref="DH138" ca="1">_FV(EE138,"Fechamento anterior",TRUE)</f>
        <v>20.69</v>
      </c>
      <c r="DI138" s="36">
        <f t="shared" ca="1" si="174"/>
        <v>0.18749464356005996</v>
      </c>
      <c r="DJ138" s="18">
        <f t="shared" ca="1" si="156"/>
        <v>20.953501129142378</v>
      </c>
      <c r="DK138" s="18">
        <f t="shared" ca="1" si="157"/>
        <v>21.201502191864616</v>
      </c>
      <c r="DL138" s="9"/>
      <c r="DM138" s="9"/>
      <c r="DN138" s="9"/>
      <c r="DO138" s="9"/>
      <c r="DP138" s="79">
        <v>2.5043177892918829E-2</v>
      </c>
      <c r="DQ138" s="79">
        <v>8.9758098056853253E-3</v>
      </c>
      <c r="DR138" s="79">
        <v>1.8512607724225985E-2</v>
      </c>
      <c r="DS138" s="79">
        <f t="shared" ca="1" si="175"/>
        <v>1.1986518256270519E-2</v>
      </c>
      <c r="DT138" s="47"/>
      <c r="DU138" s="43">
        <f t="shared" si="176"/>
        <v>0.42317254164229562</v>
      </c>
      <c r="DV138" s="83">
        <f t="shared" ca="1" si="177"/>
        <v>1.9339</v>
      </c>
      <c r="DW138" s="83">
        <f t="shared" ca="1" si="178"/>
        <v>9.5000000000000639E-3</v>
      </c>
      <c r="DX138" s="83">
        <f t="shared" ca="1" si="179"/>
        <v>1.9243999999999999</v>
      </c>
      <c r="DY138" s="67"/>
      <c r="DZ138" s="67"/>
      <c r="EA138" s="85"/>
      <c r="EB138" s="44">
        <v>4532000</v>
      </c>
      <c r="EC138" s="44" cm="1">
        <f t="array" aca="1" ref="EC138" ca="1">_FV(EE138,"Volume")</f>
        <v>10327700</v>
      </c>
      <c r="EE138" s="2" t="e" vm="139">
        <v>#VALUE!</v>
      </c>
      <c r="EG138" s="10" cm="1">
        <f t="array" aca="1" ref="EG138" ca="1">_FV(EE138,"Ações em circulação",TRUE)</f>
        <v>1682473000</v>
      </c>
      <c r="EH138" s="21">
        <f>VLOOKUP(BH138,Fundamentus!A:U,5,FALSE)</f>
        <v>0.54300000000000004</v>
      </c>
      <c r="EI138" s="2">
        <f t="shared" ca="1" si="180"/>
        <v>65068016574.585632</v>
      </c>
      <c r="EJ138" s="20">
        <v>4285342389.8784528</v>
      </c>
      <c r="EK138" s="20">
        <f t="shared" ca="1" si="181"/>
        <v>4385584317.1270714</v>
      </c>
      <c r="EM138" s="40" t="str">
        <f>IF(VLOOKUP(BH138,Fundamentus!A:U,3,FALSE)&lt;15,"Bom",IF(VLOOKUP(BH138,Fundamentus!A:U,3,FALSE)&gt;15,"Ruim","n/a"))</f>
        <v>Bom</v>
      </c>
      <c r="EN138" s="36" t="str">
        <f>IF(VLOOKUP(BH138,Fundamentus!A:U,4,FALSE)&lt;1,"Baixo",IF(VLOOKUP(BH138,Fundamentus!A:U,4,FALSE)&lt;1.5,"Moderado",IF(VLOOKUP(BH138,Fundamentus!A:U,4,FALSE)&gt;1.5,"Alto","n/a")))</f>
        <v>Alto</v>
      </c>
      <c r="EO138" s="20" t="str">
        <f>IF(VLOOKUP(BH138,Fundamentus!A:U,8,FALSE)&lt;0,"Risco elevado",IF(VLOOKUP(BH138,Fundamentus!A:U,8,FALSE)&lt;1,"Saudável",IF(VLOOKUP(BH138,Fundamentus!A:U,8,FALSE)&lt;3,"Estável",IF(VLOOKUP(BH138,Fundamentus!A:U,8,FALSE)&gt;3,"Alerta","n/a"))))</f>
        <v>Alerta</v>
      </c>
      <c r="EP138" s="36" t="str">
        <f t="shared" si="182"/>
        <v>Ruim</v>
      </c>
      <c r="EQ138" s="20" t="str">
        <f>IF(VLOOKUP(BH138,Fundamentus!A:U,12,FALSE)&lt;2,"Subvalorizada",IF(VLOOKUP(BH138,Fundamentus!A:U,12,FALSE)&lt;6,"Muita barata",IF(VLOOKUP(BH138,Fundamentus!A:U,12,FALSE)&lt;6,"Barata",IF(VLOOKUP(BH138,Fundamentus!A:U,12,FALSE)&lt;8,"Atrativa",IF(VLOOKUP(BH138,Fundamentus!A:U,12,FALSE)&gt;8,"Supervalorizada","n/a")))))</f>
        <v>Muita barata</v>
      </c>
      <c r="ES138" s="20" t="str">
        <f>IF(VLOOKUP(BH138,Fundamentus!A:U,17,FALSE)&lt;0.1,"Fraco retorno",IF(VLOOKUP(BH138,Fundamentus!A:U,17,FALSE)&gt;0.1,"Bom retorno","n/a"))</f>
        <v>Bom retorno</v>
      </c>
      <c r="ET138" s="20" t="str">
        <f>IF(VLOOKUP(BH138,Fundamentus!A:U,16,FALSE)&lt;0.1,"Ineficiente",IF(VLOOKUP(BH138,Fundamentus!A:U,16,FALSE)&gt;0.1,"Eficiente","n/a"))</f>
        <v>Eficiente</v>
      </c>
      <c r="EU138" s="41" t="str">
        <f>IF(VLOOKUP(BH138,Fundamentus!A:U,16,FALSE)&lt;0.1,"Oper. Ineficiente",IF(VLOOKUP(BH138,Fundamentus!A:U,16,FALSE)&gt;0.1,"Oper.Eficiente","n/a"))</f>
        <v>Oper.Eficiente</v>
      </c>
      <c r="EV138" s="42">
        <f>VLOOKUP(BH138,Fundamentus!A:U,14,FALSE)</f>
        <v>6.7400000000000002E-2</v>
      </c>
      <c r="EW138" s="20" t="str">
        <f>IF(VLOOKUP(BH138,Fundamentus!A:U,21,FALSE)&lt;0,"Negativo",IF(VLOOKUP(BH138,Fundamentus!A:U,21,FALSE)&lt;0.05,"Fraco",IF(VLOOKUP(BH138,Fundamentus!A:U,21,FALSE)&lt;0.1,"Bom",IF(VLOOKUP(BH138,Fundamentus!A:U,21,FALSE)&gt;0.1,"Muito bom","n/a"))))</f>
        <v>Bom</v>
      </c>
      <c r="EY138" s="37" t="str">
        <f>IF(VLOOKUP(BH138,Fundamentus!A:U,15,FALSE)&gt;1,"Bom",IF(VLOOKUP(BH138,Fundamentus!A:U,15,FALSE)&lt;1,"Ruim","n/a"))</f>
        <v>Bom</v>
      </c>
      <c r="EZ138" s="20" t="str">
        <f>IF(VLOOKUP(BH138,Fundamentus!A:U,20,FALSE)&lt;0.5,"Baixa",IF(VLOOKUP(BH138,Fundamentus!A:U,20,FALSE)&lt;1,"Moderada",IF(VLOOKUP(BH138,Fundamentus!A:U,20,FALSE)&lt;2,"Alerta",IF(VLOOKUP(BH138,Fundamentus!A:U,20,FALSE)&gt;2,"Alta","n/a"))))</f>
        <v>Alerta</v>
      </c>
      <c r="FA138" s="10"/>
    </row>
    <row r="139" spans="1:157" s="2" customFormat="1" ht="11.25" hidden="1" x14ac:dyDescent="0.2">
      <c r="A139" s="4">
        <v>22.35</v>
      </c>
      <c r="B139" s="4">
        <v>23.22</v>
      </c>
      <c r="C139" s="4">
        <v>23.58</v>
      </c>
      <c r="D139" s="4">
        <v>23.76</v>
      </c>
      <c r="E139" s="4">
        <v>23.3</v>
      </c>
      <c r="F139" s="4">
        <v>23.49</v>
      </c>
      <c r="G139" s="4">
        <v>22.73</v>
      </c>
      <c r="H139" s="4">
        <v>22.65</v>
      </c>
      <c r="I139" s="4">
        <v>23.09</v>
      </c>
      <c r="J139" s="4">
        <v>22.71</v>
      </c>
      <c r="K139" s="4">
        <v>22.85</v>
      </c>
      <c r="L139" s="4">
        <v>21.83</v>
      </c>
      <c r="M139" s="4">
        <v>22.21</v>
      </c>
      <c r="N139" s="4">
        <v>21.6</v>
      </c>
      <c r="O139" s="4">
        <v>21.52</v>
      </c>
      <c r="P139" s="4">
        <v>21.9</v>
      </c>
      <c r="Q139" s="4">
        <v>22.83</v>
      </c>
      <c r="R139" s="4">
        <v>22.04</v>
      </c>
      <c r="S139" s="4">
        <v>21.51</v>
      </c>
      <c r="T139" s="4">
        <v>22.91</v>
      </c>
      <c r="U139" s="4">
        <v>21.36</v>
      </c>
      <c r="V139" s="4">
        <v>20.399999999999999</v>
      </c>
      <c r="W139" s="4">
        <v>20.29</v>
      </c>
      <c r="X139" s="4">
        <v>20.37</v>
      </c>
      <c r="Y139" s="4">
        <v>19.989999999999998</v>
      </c>
      <c r="Z139" s="4">
        <v>20.2</v>
      </c>
      <c r="AA139" s="4">
        <v>18.57</v>
      </c>
      <c r="AB139" s="4">
        <v>17.29</v>
      </c>
      <c r="AC139" s="4">
        <v>16.399999999999999</v>
      </c>
      <c r="AD139" s="4">
        <v>16.53</v>
      </c>
      <c r="AE139" s="4">
        <v>15.2</v>
      </c>
      <c r="AF139" s="4">
        <v>14.6</v>
      </c>
      <c r="AG139" s="4">
        <v>14.2</v>
      </c>
      <c r="AH139" s="4">
        <v>13.17</v>
      </c>
      <c r="AI139" s="4">
        <v>12.77</v>
      </c>
      <c r="AJ139" s="4">
        <v>12.28</v>
      </c>
      <c r="AK139" s="4">
        <v>12.05</v>
      </c>
      <c r="AL139" s="4">
        <v>12.65</v>
      </c>
      <c r="AM139" s="4">
        <v>13.53</v>
      </c>
      <c r="AN139" s="4">
        <v>14.34</v>
      </c>
      <c r="AO139" s="4">
        <v>14.57</v>
      </c>
      <c r="AP139" s="4">
        <v>15.36</v>
      </c>
      <c r="AQ139" s="4">
        <v>15.05</v>
      </c>
      <c r="AR139" s="4">
        <v>12.9</v>
      </c>
      <c r="AS139" s="4">
        <v>12.86</v>
      </c>
      <c r="AT139" s="4">
        <v>12.14</v>
      </c>
      <c r="AU139" s="4">
        <v>12.164999999999999</v>
      </c>
      <c r="AV139" s="4">
        <v>12.88</v>
      </c>
      <c r="AW139" s="4">
        <v>12.71</v>
      </c>
      <c r="AX139" s="4">
        <v>11.6</v>
      </c>
      <c r="AY139" s="12">
        <v>13.05</v>
      </c>
      <c r="AZ139" s="12">
        <v>13.7</v>
      </c>
      <c r="BA139" s="12">
        <v>14.15</v>
      </c>
      <c r="BB139" s="18">
        <v>14.28</v>
      </c>
      <c r="BC139" s="63">
        <v>14.47</v>
      </c>
      <c r="BD139" s="63">
        <v>13.91</v>
      </c>
      <c r="BE139" s="63">
        <v>14.7</v>
      </c>
      <c r="BF139" s="63">
        <v>14.01</v>
      </c>
      <c r="BG139" s="91" cm="1">
        <f t="array" aca="1" ref="BG139" ca="1">_FV(EE139,"Preço")</f>
        <v>14.87</v>
      </c>
      <c r="BH139" s="93" t="s">
        <v>136</v>
      </c>
      <c r="BI139" s="32" cm="1">
        <f t="array" aca="1" ref="BI139" ca="1">_FV(EE139,"Beta")</f>
        <v>1.2407999999999999</v>
      </c>
      <c r="BJ139" s="96" cm="1">
        <f t="array" aca="1" ref="BJ139" ca="1">_FV(EE139,"Variação (%)",TRUE)</f>
        <v>6.0889999999999998E-3</v>
      </c>
      <c r="BK139" s="49"/>
      <c r="BL139" s="49"/>
      <c r="BN139" s="32"/>
      <c r="BO139" s="20" cm="1">
        <f t="array" aca="1" ref="BO139" ca="1">_FV(EE139,"Baixo")</f>
        <v>14.34</v>
      </c>
      <c r="BP139" s="20" cm="1">
        <f t="array" aca="1" ref="BP139" ca="1">_FV(EE139,"Alto")</f>
        <v>14.97</v>
      </c>
      <c r="BQ139" s="32"/>
      <c r="BR139" s="74">
        <f ca="1">SQRT(22.5*(BG139/VLOOKUP(BH139,Fundamentus!A:U,3,FALSE))*(BG139/VLOOKUP(BH139,Fundamentus!A:U,4,FALSE)))</f>
        <v>17.219138757233797</v>
      </c>
      <c r="BT139" s="73">
        <f t="shared" ca="1" si="158"/>
        <v>6.1384725196288327E-2</v>
      </c>
      <c r="BU139" s="36">
        <f t="shared" si="159"/>
        <v>-0.34228187919463093</v>
      </c>
      <c r="BV139" s="8"/>
      <c r="BW139" s="72">
        <f t="shared" si="160"/>
        <v>11.6</v>
      </c>
      <c r="BX139" s="72">
        <f t="shared" si="161"/>
        <v>17.63405172413793</v>
      </c>
      <c r="BY139" s="72">
        <f t="shared" si="162"/>
        <v>23.76</v>
      </c>
      <c r="BZ139" s="17"/>
      <c r="CA139" s="17"/>
      <c r="CB139" s="43">
        <f t="shared" si="163"/>
        <v>13.472276396148043</v>
      </c>
      <c r="CC139" s="18">
        <f t="shared" si="164"/>
        <v>14.121949390815359</v>
      </c>
      <c r="CD139" s="43">
        <f t="shared" si="165"/>
        <v>14.771622385482676</v>
      </c>
      <c r="CE139" s="98">
        <f t="shared" ca="1" si="166"/>
        <v>1.1514263565283338</v>
      </c>
      <c r="CF139" s="17"/>
      <c r="CG139" s="20">
        <f t="shared" si="167"/>
        <v>-3.0066666666666695</v>
      </c>
      <c r="CH139" s="20">
        <f t="shared" si="168"/>
        <v>4.2966666666666651</v>
      </c>
      <c r="CI139" s="20">
        <f t="shared" si="169"/>
        <v>9.1533333333333324</v>
      </c>
      <c r="CJ139" s="49">
        <f t="shared" si="170"/>
        <v>16.456666666666667</v>
      </c>
      <c r="CK139" s="20">
        <f t="shared" si="171"/>
        <v>21.313333333333333</v>
      </c>
      <c r="CL139" s="20">
        <f t="shared" si="172"/>
        <v>28.616666666666667</v>
      </c>
      <c r="CM139" s="20">
        <f t="shared" si="173"/>
        <v>33.473333333333336</v>
      </c>
      <c r="CN139" s="2" cm="1">
        <f t="array" aca="1" ref="CN139" ca="1">MAX(_xlfn._xlws.FILTER(CG139:CM139,CG139:CM139&lt;BG139))</f>
        <v>9.1533333333333324</v>
      </c>
      <c r="CO139" s="2" cm="1">
        <f t="array" aca="1" ref="CO139" ca="1">MIN(_xlfn._xlws.FILTER($CG139:$CM139,$CG139:$CM139&gt;BG139))</f>
        <v>16.456666666666667</v>
      </c>
      <c r="CP139" s="19">
        <f t="shared" ca="1" si="141"/>
        <v>0.79788783685360554</v>
      </c>
      <c r="CQ139" s="23">
        <f t="shared" ca="1" si="142"/>
        <v>-0.39894391842680277</v>
      </c>
      <c r="CR139" s="23">
        <f t="shared" ca="1" si="143"/>
        <v>-0.26596261228453516</v>
      </c>
      <c r="CS139" s="23">
        <f t="shared" ca="1" si="144"/>
        <v>-0.1595775673707211</v>
      </c>
      <c r="CT139" s="23">
        <f t="shared" ca="1" si="145"/>
        <v>-8.8654204094845063E-2</v>
      </c>
      <c r="CU139" s="23">
        <f t="shared" ca="1" si="146"/>
        <v>-4.6934578638447383E-2</v>
      </c>
      <c r="CV139" s="23">
        <f t="shared" ca="1" si="147"/>
        <v>-2.4178419298594107E-2</v>
      </c>
      <c r="CW139" s="23">
        <f t="shared" ca="1" si="148"/>
        <v>-1.227519749005547E-2</v>
      </c>
      <c r="CX139" s="24">
        <f t="shared" ca="1" si="149"/>
        <v>1.227519749005547E-2</v>
      </c>
      <c r="CY139" s="24">
        <f t="shared" ca="1" si="150"/>
        <v>2.4178419298594107E-2</v>
      </c>
      <c r="CZ139" s="24">
        <f t="shared" ca="1" si="151"/>
        <v>4.6934578638447383E-2</v>
      </c>
      <c r="DA139" s="24">
        <f t="shared" ca="1" si="152"/>
        <v>8.8654204094845063E-2</v>
      </c>
      <c r="DB139" s="24">
        <f t="shared" ca="1" si="153"/>
        <v>0.1595775673707211</v>
      </c>
      <c r="DC139" s="24">
        <f t="shared" ca="1" si="154"/>
        <v>0.26596261228453516</v>
      </c>
      <c r="DD139" s="24">
        <f t="shared" ca="1" si="155"/>
        <v>0.39894391842680277</v>
      </c>
      <c r="DF139" s="19" cm="1">
        <f t="array" aca="1" ref="DF139" ca="1">MAX(_xlfn._xlws.FILTER(CQ139:DD139,CQ139:DD139&lt;BJ139))</f>
        <v>-1.227519749005547E-2</v>
      </c>
      <c r="DG139" s="19" cm="1">
        <f t="array" aca="1" ref="DG139" ca="1">MIN(_xlfn._xlws.FILTER(CQ139:DD139,CQ139:DD139&gt;BJ139))</f>
        <v>1.227519749005547E-2</v>
      </c>
      <c r="DH139" s="2" cm="1">
        <f t="array" aca="1" ref="DH139" ca="1">_FV(EE139,"Fechamento anterior",TRUE)</f>
        <v>14.78</v>
      </c>
      <c r="DI139" s="36">
        <f t="shared" ca="1" si="174"/>
        <v>0.74803307169383348</v>
      </c>
      <c r="DJ139" s="18">
        <f t="shared" ca="1" si="156"/>
        <v>14.598572581096979</v>
      </c>
      <c r="DK139" s="18">
        <f t="shared" ca="1" si="157"/>
        <v>14.961427418903019</v>
      </c>
      <c r="DL139" s="9"/>
      <c r="DM139" s="9"/>
      <c r="DN139" s="9"/>
      <c r="DO139" s="9"/>
      <c r="DP139" s="79">
        <v>3.3204101597883999E-2</v>
      </c>
      <c r="DQ139" s="79">
        <v>3.3204101597883999E-2</v>
      </c>
      <c r="DR139" s="79">
        <v>3.3204101597883999E-2</v>
      </c>
      <c r="DS139" s="79">
        <f t="shared" ca="1" si="175"/>
        <v>2.455039498011094E-2</v>
      </c>
      <c r="DT139" s="47"/>
      <c r="DU139" s="43">
        <f t="shared" si="176"/>
        <v>0.32483649733365849</v>
      </c>
      <c r="DV139" s="83">
        <f t="shared" ca="1" si="177"/>
        <v>1.6668999999999998</v>
      </c>
      <c r="DW139" s="83">
        <f t="shared" ca="1" si="178"/>
        <v>0.63189999999999991</v>
      </c>
      <c r="DX139" s="83">
        <f t="shared" ca="1" si="179"/>
        <v>1.0349999999999999</v>
      </c>
      <c r="DY139" s="67"/>
      <c r="DZ139" s="67"/>
      <c r="EA139" s="85"/>
      <c r="EB139" s="44">
        <v>1812700</v>
      </c>
      <c r="EC139" s="44" cm="1">
        <f t="array" aca="1" ref="EC139" ca="1">_FV(EE139,"Volume")</f>
        <v>2453300</v>
      </c>
      <c r="EE139" s="2" t="e" vm="140">
        <v>#VALUE!</v>
      </c>
      <c r="EG139" s="10" cm="1">
        <f t="array" aca="1" ref="EG139" ca="1">_FV(EE139,"Ações em circulação",TRUE)</f>
        <v>327611100</v>
      </c>
      <c r="EH139" s="21">
        <f>VLOOKUP(BH139,Fundamentus!A:U,5,FALSE)</f>
        <v>0.999</v>
      </c>
      <c r="EI139" s="2">
        <f t="shared" ca="1" si="180"/>
        <v>4876453510.5105104</v>
      </c>
      <c r="EJ139" s="20">
        <v>431876038.07207209</v>
      </c>
      <c r="EK139" s="20">
        <f t="shared" ca="1" si="181"/>
        <v>458386629.987988</v>
      </c>
      <c r="EM139" s="40" t="str">
        <f>IF(VLOOKUP(BH139,Fundamentus!A:U,3,FALSE)&lt;15,"Bom",IF(VLOOKUP(BH139,Fundamentus!A:U,3,FALSE)&gt;15,"Ruim","n/a"))</f>
        <v>Bom</v>
      </c>
      <c r="EN139" s="36" t="str">
        <f>IF(VLOOKUP(BH139,Fundamentus!A:U,4,FALSE)&lt;1,"Baixo",IF(VLOOKUP(BH139,Fundamentus!A:U,4,FALSE)&lt;1.5,"Moderado",IF(VLOOKUP(BH139,Fundamentus!A:U,4,FALSE)&gt;1.5,"Alto","n/a")))</f>
        <v>Alto</v>
      </c>
      <c r="EO139" s="20" t="str">
        <f>IF(VLOOKUP(BH139,Fundamentus!A:U,8,FALSE)&lt;0,"Risco elevado",IF(VLOOKUP(BH139,Fundamentus!A:U,8,FALSE)&lt;1,"Saudável",IF(VLOOKUP(BH139,Fundamentus!A:U,8,FALSE)&lt;3,"Estável",IF(VLOOKUP(BH139,Fundamentus!A:U,8,FALSE)&gt;3,"Alerta","n/a"))))</f>
        <v>Estável</v>
      </c>
      <c r="EP139" s="36" t="str">
        <f t="shared" si="182"/>
        <v>Ruim</v>
      </c>
      <c r="EQ139" s="20" t="str">
        <f>IF(VLOOKUP(BH139,Fundamentus!A:U,12,FALSE)&lt;2,"Subvalorizada",IF(VLOOKUP(BH139,Fundamentus!A:U,12,FALSE)&lt;6,"Muita barata",IF(VLOOKUP(BH139,Fundamentus!A:U,12,FALSE)&lt;6,"Barata",IF(VLOOKUP(BH139,Fundamentus!A:U,12,FALSE)&lt;8,"Atrativa",IF(VLOOKUP(BH139,Fundamentus!A:U,12,FALSE)&gt;8,"Supervalorizada","n/a")))))</f>
        <v>Supervalorizada</v>
      </c>
      <c r="ES139" s="20" t="str">
        <f>IF(VLOOKUP(BH139,Fundamentus!A:U,17,FALSE)&lt;0.1,"Fraco retorno",IF(VLOOKUP(BH139,Fundamentus!A:U,17,FALSE)&gt;0.1,"Bom retorno","n/a"))</f>
        <v>Bom retorno</v>
      </c>
      <c r="ET139" s="20" t="str">
        <f>IF(VLOOKUP(BH139,Fundamentus!A:U,16,FALSE)&lt;0.1,"Ineficiente",IF(VLOOKUP(BH139,Fundamentus!A:U,16,FALSE)&gt;0.1,"Eficiente","n/a"))</f>
        <v>Eficiente</v>
      </c>
      <c r="EU139" s="41" t="str">
        <f>IF(VLOOKUP(BH139,Fundamentus!A:U,16,FALSE)&lt;0.1,"Oper. Ineficiente",IF(VLOOKUP(BH139,Fundamentus!A:U,16,FALSE)&gt;0.1,"Oper.Eficiente","n/a"))</f>
        <v>Oper.Eficiente</v>
      </c>
      <c r="EV139" s="42">
        <f>VLOOKUP(BH139,Fundamentus!A:U,14,FALSE)</f>
        <v>9.4E-2</v>
      </c>
      <c r="EW139" s="20" t="str">
        <f>IF(VLOOKUP(BH139,Fundamentus!A:U,21,FALSE)&lt;0,"Negativo",IF(VLOOKUP(BH139,Fundamentus!A:U,21,FALSE)&lt;0.05,"Fraco",IF(VLOOKUP(BH139,Fundamentus!A:U,21,FALSE)&lt;0.1,"Bom",IF(VLOOKUP(BH139,Fundamentus!A:U,21,FALSE)&gt;0.1,"Muito bom","n/a"))))</f>
        <v>Muito bom</v>
      </c>
      <c r="EY139" s="37" t="str">
        <f>IF(VLOOKUP(BH139,Fundamentus!A:U,15,FALSE)&gt;1,"Bom",IF(VLOOKUP(BH139,Fundamentus!A:U,15,FALSE)&lt;1,"Ruim","n/a"))</f>
        <v>Bom</v>
      </c>
      <c r="EZ139" s="20" t="str">
        <f>IF(VLOOKUP(BH139,Fundamentus!A:U,20,FALSE)&lt;0.5,"Baixa",IF(VLOOKUP(BH139,Fundamentus!A:U,20,FALSE)&lt;1,"Moderada",IF(VLOOKUP(BH139,Fundamentus!A:U,20,FALSE)&lt;2,"Alerta",IF(VLOOKUP(BH139,Fundamentus!A:U,20,FALSE)&gt;2,"Alta","n/a"))))</f>
        <v>Baixa</v>
      </c>
      <c r="FA139" s="10"/>
    </row>
    <row r="140" spans="1:157" s="2" customFormat="1" ht="11.25" hidden="1" x14ac:dyDescent="0.2">
      <c r="A140" s="4">
        <v>5.24</v>
      </c>
      <c r="B140" s="4">
        <v>5.28</v>
      </c>
      <c r="C140" s="4">
        <v>6.26</v>
      </c>
      <c r="D140" s="4">
        <v>6.7</v>
      </c>
      <c r="E140" s="4">
        <v>7.1</v>
      </c>
      <c r="F140" s="4">
        <v>7.16</v>
      </c>
      <c r="G140" s="4">
        <v>6.53</v>
      </c>
      <c r="H140" s="4">
        <v>6.47</v>
      </c>
      <c r="I140" s="4">
        <v>6.94</v>
      </c>
      <c r="J140" s="4">
        <v>7.07</v>
      </c>
      <c r="K140" s="4">
        <v>7.4</v>
      </c>
      <c r="L140" s="4">
        <v>6.67</v>
      </c>
      <c r="M140" s="4">
        <v>5.32</v>
      </c>
      <c r="N140" s="4">
        <v>4.8899999999999997</v>
      </c>
      <c r="O140" s="4">
        <v>4.66</v>
      </c>
      <c r="P140" s="4">
        <v>4.68</v>
      </c>
      <c r="Q140" s="4">
        <v>5.42</v>
      </c>
      <c r="R140" s="4">
        <v>4.9800000000000004</v>
      </c>
      <c r="S140" s="4">
        <v>4.68</v>
      </c>
      <c r="T140" s="4">
        <v>4.84</v>
      </c>
      <c r="U140" s="4">
        <v>4.7</v>
      </c>
      <c r="V140" s="4">
        <v>5.5</v>
      </c>
      <c r="W140" s="4">
        <v>6.17</v>
      </c>
      <c r="X140" s="4">
        <v>5.75</v>
      </c>
      <c r="Y140" s="4">
        <v>5.92</v>
      </c>
      <c r="Z140" s="4">
        <v>5.93</v>
      </c>
      <c r="AA140" s="4">
        <v>5.71</v>
      </c>
      <c r="AB140" s="4">
        <v>5.36</v>
      </c>
      <c r="AC140" s="4">
        <v>4.92</v>
      </c>
      <c r="AD140" s="4">
        <v>6.23</v>
      </c>
      <c r="AE140" s="4">
        <v>6.35</v>
      </c>
      <c r="AF140" s="4">
        <v>6.11</v>
      </c>
      <c r="AG140" s="4">
        <v>5.9</v>
      </c>
      <c r="AH140" s="4">
        <v>4.75</v>
      </c>
      <c r="AI140" s="4">
        <v>4.6900000000000004</v>
      </c>
      <c r="AJ140" s="4">
        <v>4.66</v>
      </c>
      <c r="AK140" s="4">
        <v>4.6399999999999997</v>
      </c>
      <c r="AL140" s="4">
        <v>5.12</v>
      </c>
      <c r="AM140" s="4">
        <v>5.0599999999999996</v>
      </c>
      <c r="AN140" s="4">
        <v>5.44</v>
      </c>
      <c r="AO140" s="4">
        <v>5.5</v>
      </c>
      <c r="AP140" s="4">
        <v>5.84</v>
      </c>
      <c r="AQ140" s="4">
        <v>5.95</v>
      </c>
      <c r="AR140" s="4">
        <v>5.19</v>
      </c>
      <c r="AS140" s="4">
        <v>5.25</v>
      </c>
      <c r="AT140" s="4">
        <v>4.99</v>
      </c>
      <c r="AU140" s="4">
        <v>5.0250000000000004</v>
      </c>
      <c r="AV140" s="4">
        <v>4.8499999999999996</v>
      </c>
      <c r="AW140" s="4">
        <v>4.1100000000000003</v>
      </c>
      <c r="AX140" s="4">
        <v>4.08</v>
      </c>
      <c r="AY140" s="12">
        <v>3.93</v>
      </c>
      <c r="AZ140" s="12">
        <v>4.1399999999999997</v>
      </c>
      <c r="BA140" s="12">
        <v>3.93</v>
      </c>
      <c r="BB140" s="18">
        <v>4.1399999999999997</v>
      </c>
      <c r="BC140" s="63">
        <v>4.78</v>
      </c>
      <c r="BD140" s="63">
        <v>4.68</v>
      </c>
      <c r="BE140" s="63">
        <v>4.7</v>
      </c>
      <c r="BF140" s="63">
        <v>4.37</v>
      </c>
      <c r="BG140" s="91" cm="1">
        <f t="array" aca="1" ref="BG140" ca="1">_FV(EE140,"Preço")</f>
        <v>4.3099999999999996</v>
      </c>
      <c r="BH140" s="93" t="s">
        <v>137</v>
      </c>
      <c r="BI140" s="32" cm="1">
        <f t="array" aca="1" ref="BI140" ca="1">_FV(EE140,"Beta")</f>
        <v>0.98050000000000004</v>
      </c>
      <c r="BJ140" s="96" cm="1">
        <f t="array" aca="1" ref="BJ140" ca="1">_FV(EE140,"Variação (%)",TRUE)</f>
        <v>-5.4824999999999999E-2</v>
      </c>
      <c r="BK140" s="49"/>
      <c r="BL140" s="49"/>
      <c r="BN140" s="32"/>
      <c r="BO140" s="20" cm="1">
        <f t="array" aca="1" ref="BO140" ca="1">_FV(EE140,"Baixo")</f>
        <v>4.3099999999999996</v>
      </c>
      <c r="BP140" s="20" cm="1">
        <f t="array" aca="1" ref="BP140" ca="1">_FV(EE140,"Alto")</f>
        <v>4.5</v>
      </c>
      <c r="BQ140" s="32"/>
      <c r="BR140" s="74">
        <f ca="1">SQRT(22.5*(BG140/VLOOKUP(BH140,Fundamentus!A:U,3,FALSE))*(BG140/VLOOKUP(BH140,Fundamentus!A:U,4,FALSE)))</f>
        <v>6.363238291764441</v>
      </c>
      <c r="BT140" s="73">
        <f t="shared" ca="1" si="158"/>
        <v>-1.3729977116704919E-2</v>
      </c>
      <c r="BU140" s="36">
        <f t="shared" si="159"/>
        <v>-0.10305343511450382</v>
      </c>
      <c r="BV140" s="8"/>
      <c r="BW140" s="72">
        <f t="shared" si="160"/>
        <v>3.93</v>
      </c>
      <c r="BX140" s="72">
        <f t="shared" si="161"/>
        <v>5.3906034482758605</v>
      </c>
      <c r="BY140" s="72">
        <f t="shared" si="162"/>
        <v>7.4</v>
      </c>
      <c r="BZ140" s="17"/>
      <c r="CA140" s="17"/>
      <c r="CB140" s="43">
        <f t="shared" si="163"/>
        <v>4.0286711093804541</v>
      </c>
      <c r="CC140" s="18">
        <f t="shared" si="164"/>
        <v>4.3408809746954375</v>
      </c>
      <c r="CD140" s="43">
        <f t="shared" si="165"/>
        <v>4.6530908400104209</v>
      </c>
      <c r="CE140" s="98">
        <f t="shared" ca="1" si="166"/>
        <v>-9.8910951017779747E-2</v>
      </c>
      <c r="CF140" s="17"/>
      <c r="CG140" s="20">
        <f t="shared" si="167"/>
        <v>-0.40333333333333377</v>
      </c>
      <c r="CH140" s="20">
        <f t="shared" si="168"/>
        <v>1.7633333333333332</v>
      </c>
      <c r="CI140" s="20">
        <f t="shared" si="169"/>
        <v>3.0666666666666664</v>
      </c>
      <c r="CJ140" s="49">
        <f t="shared" si="170"/>
        <v>5.2333333333333334</v>
      </c>
      <c r="CK140" s="20">
        <f t="shared" si="171"/>
        <v>6.5366666666666671</v>
      </c>
      <c r="CL140" s="20">
        <f t="shared" si="172"/>
        <v>8.7033333333333331</v>
      </c>
      <c r="CM140" s="20">
        <f t="shared" si="173"/>
        <v>10.006666666666668</v>
      </c>
      <c r="CN140" s="2" cm="1">
        <f t="array" aca="1" ref="CN140" ca="1">MAX(_xlfn._xlws.FILTER(CG140:CM140,CG140:CM140&lt;BG140))</f>
        <v>3.0666666666666664</v>
      </c>
      <c r="CO140" s="2" cm="1">
        <f t="array" aca="1" ref="CO140" ca="1">MIN(_xlfn._xlws.FILTER($CG140:$CM140,$CG140:$CM140&gt;BG140))</f>
        <v>5.2333333333333334</v>
      </c>
      <c r="CP140" s="19">
        <f t="shared" ca="1" si="141"/>
        <v>0.70652173913043503</v>
      </c>
      <c r="CQ140" s="23">
        <f t="shared" ca="1" si="142"/>
        <v>-0.35326086956521752</v>
      </c>
      <c r="CR140" s="23">
        <f t="shared" ca="1" si="143"/>
        <v>-0.23550724637681167</v>
      </c>
      <c r="CS140" s="23">
        <f t="shared" ca="1" si="144"/>
        <v>-0.141304347826087</v>
      </c>
      <c r="CT140" s="23">
        <f t="shared" ca="1" si="145"/>
        <v>-7.8502415458937227E-2</v>
      </c>
      <c r="CU140" s="23">
        <f t="shared" ca="1" si="146"/>
        <v>-4.1560102301790296E-2</v>
      </c>
      <c r="CV140" s="23">
        <f t="shared" ca="1" si="147"/>
        <v>-2.1409749670619243E-2</v>
      </c>
      <c r="CW140" s="23">
        <f t="shared" ca="1" si="148"/>
        <v>-1.0869565217391308E-2</v>
      </c>
      <c r="CX140" s="24">
        <f t="shared" ca="1" si="149"/>
        <v>1.0869565217391308E-2</v>
      </c>
      <c r="CY140" s="24">
        <f t="shared" ca="1" si="150"/>
        <v>2.1409749670619243E-2</v>
      </c>
      <c r="CZ140" s="24">
        <f t="shared" ca="1" si="151"/>
        <v>4.1560102301790296E-2</v>
      </c>
      <c r="DA140" s="24">
        <f t="shared" ca="1" si="152"/>
        <v>7.8502415458937227E-2</v>
      </c>
      <c r="DB140" s="24">
        <f t="shared" ca="1" si="153"/>
        <v>0.141304347826087</v>
      </c>
      <c r="DC140" s="24">
        <f t="shared" ca="1" si="154"/>
        <v>0.23550724637681167</v>
      </c>
      <c r="DD140" s="24">
        <f t="shared" ca="1" si="155"/>
        <v>0.35326086956521752</v>
      </c>
      <c r="DF140" s="19" cm="1">
        <f t="array" aca="1" ref="DF140" ca="1">MAX(_xlfn._xlws.FILTER(CQ140:DD140,CQ140:DD140&lt;BJ140))</f>
        <v>-7.8502415458937227E-2</v>
      </c>
      <c r="DG140" s="19" cm="1">
        <f t="array" aca="1" ref="DG140" ca="1">MIN(_xlfn._xlws.FILTER(CQ140:DD140,CQ140:DD140&gt;BJ140))</f>
        <v>-4.1560102301790296E-2</v>
      </c>
      <c r="DH140" s="2" cm="1">
        <f t="array" aca="1" ref="DH140" ca="1">_FV(EE140,"Fechamento anterior",TRUE)</f>
        <v>4.5599999999999996</v>
      </c>
      <c r="DI140" s="36">
        <f t="shared" ca="1" si="174"/>
        <v>0.64094129554656043</v>
      </c>
      <c r="DJ140" s="18">
        <f t="shared" ca="1" si="156"/>
        <v>4.2020289855072459</v>
      </c>
      <c r="DK140" s="18">
        <f t="shared" ca="1" si="157"/>
        <v>4.3704859335038355</v>
      </c>
      <c r="DL140" s="9"/>
      <c r="DM140" s="9"/>
      <c r="DN140" s="9"/>
      <c r="DO140" s="9"/>
      <c r="DP140" s="79">
        <v>2.6908508680742259E-2</v>
      </c>
      <c r="DQ140" s="79">
        <v>1.583462241597525E-2</v>
      </c>
      <c r="DR140" s="79">
        <v>1.583462241597525E-2</v>
      </c>
      <c r="DS140" s="79">
        <f t="shared" ca="1" si="175"/>
        <v>3.6942313157146932E-2</v>
      </c>
      <c r="DT140" s="47"/>
      <c r="DU140" s="43">
        <f t="shared" si="176"/>
        <v>0.15610493265749165</v>
      </c>
      <c r="DV140" s="83">
        <f t="shared" ca="1" si="177"/>
        <v>1.4066000000000001</v>
      </c>
      <c r="DW140" s="83">
        <f t="shared" ca="1" si="178"/>
        <v>6.4630000000000001</v>
      </c>
      <c r="DX140" s="83">
        <f t="shared" ca="1" si="179"/>
        <v>-5.0564</v>
      </c>
      <c r="DY140" s="67"/>
      <c r="DZ140" s="67"/>
      <c r="EA140" s="85"/>
      <c r="EB140" s="44">
        <v>4252800</v>
      </c>
      <c r="EC140" s="44" cm="1">
        <f t="array" aca="1" ref="EC140" ca="1">_FV(EE140,"Volume")</f>
        <v>6517800</v>
      </c>
      <c r="EE140" s="2" t="e" vm="141">
        <v>#VALUE!</v>
      </c>
      <c r="EG140" s="10" cm="1">
        <f t="array" aca="1" ref="EG140" ca="1">_FV(EE140,"Ações em circulação",TRUE)</f>
        <v>651072700</v>
      </c>
      <c r="EH140" s="21">
        <f>VLOOKUP(BH140,Fundamentus!A:U,5,FALSE)</f>
        <v>0.32</v>
      </c>
      <c r="EI140" s="2">
        <f t="shared" ca="1" si="180"/>
        <v>8769135428.1249981</v>
      </c>
      <c r="EJ140" s="20">
        <v>293409981.45937502</v>
      </c>
      <c r="EK140" s="20">
        <f t="shared" ca="1" si="181"/>
        <v>289381469.12812495</v>
      </c>
      <c r="EM140" s="40" t="str">
        <f>IF(VLOOKUP(BH140,Fundamentus!A:U,3,FALSE)&lt;15,"Bom",IF(VLOOKUP(BH140,Fundamentus!A:U,3,FALSE)&gt;15,"Ruim","n/a"))</f>
        <v>Ruim</v>
      </c>
      <c r="EN140" s="36" t="str">
        <f>IF(VLOOKUP(BH140,Fundamentus!A:U,4,FALSE)&lt;1,"Baixo",IF(VLOOKUP(BH140,Fundamentus!A:U,4,FALSE)&lt;1.5,"Moderado",IF(VLOOKUP(BH140,Fundamentus!A:U,4,FALSE)&gt;1.5,"Alto","n/a")))</f>
        <v>Baixo</v>
      </c>
      <c r="EO140" s="20" t="str">
        <f>IF(VLOOKUP(BH140,Fundamentus!A:U,8,FALSE)&lt;0,"Risco elevado",IF(VLOOKUP(BH140,Fundamentus!A:U,8,FALSE)&lt;1,"Saudável",IF(VLOOKUP(BH140,Fundamentus!A:U,8,FALSE)&lt;3,"Estável",IF(VLOOKUP(BH140,Fundamentus!A:U,8,FALSE)&gt;3,"Alerta","n/a"))))</f>
        <v>Estável</v>
      </c>
      <c r="EP140" s="36" t="str">
        <f t="shared" si="182"/>
        <v>Ruim</v>
      </c>
      <c r="EQ140" s="20" t="str">
        <f>IF(VLOOKUP(BH140,Fundamentus!A:U,12,FALSE)&lt;2,"Subvalorizada",IF(VLOOKUP(BH140,Fundamentus!A:U,12,FALSE)&lt;6,"Muita barata",IF(VLOOKUP(BH140,Fundamentus!A:U,12,FALSE)&lt;6,"Barata",IF(VLOOKUP(BH140,Fundamentus!A:U,12,FALSE)&lt;8,"Atrativa",IF(VLOOKUP(BH140,Fundamentus!A:U,12,FALSE)&gt;8,"Supervalorizada","n/a")))))</f>
        <v>Muita barata</v>
      </c>
      <c r="ES140" s="20" t="str">
        <f>IF(VLOOKUP(BH140,Fundamentus!A:U,17,FALSE)&lt;0.1,"Fraco retorno",IF(VLOOKUP(BH140,Fundamentus!A:U,17,FALSE)&gt;0.1,"Bom retorno","n/a"))</f>
        <v>Fraco retorno</v>
      </c>
      <c r="ET140" s="20" t="str">
        <f>IF(VLOOKUP(BH140,Fundamentus!A:U,16,FALSE)&lt;0.1,"Ineficiente",IF(VLOOKUP(BH140,Fundamentus!A:U,16,FALSE)&gt;0.1,"Eficiente","n/a"))</f>
        <v>Ineficiente</v>
      </c>
      <c r="EU140" s="41" t="str">
        <f>IF(VLOOKUP(BH140,Fundamentus!A:U,16,FALSE)&lt;0.1,"Oper. Ineficiente",IF(VLOOKUP(BH140,Fundamentus!A:U,16,FALSE)&gt;0.1,"Oper.Eficiente","n/a"))</f>
        <v>Oper. Ineficiente</v>
      </c>
      <c r="EV140" s="42">
        <f>VLOOKUP(BH140,Fundamentus!A:U,14,FALSE)</f>
        <v>3.3000000000000002E-2</v>
      </c>
      <c r="EW140" s="20" t="str">
        <f>IF(VLOOKUP(BH140,Fundamentus!A:U,21,FALSE)&lt;0,"Negativo",IF(VLOOKUP(BH140,Fundamentus!A:U,21,FALSE)&lt;0.05,"Fraco",IF(VLOOKUP(BH140,Fundamentus!A:U,21,FALSE)&lt;0.1,"Bom",IF(VLOOKUP(BH140,Fundamentus!A:U,21,FALSE)&gt;0.1,"Muito bom","n/a"))))</f>
        <v>Negativo</v>
      </c>
      <c r="EY140" s="37" t="str">
        <f>IF(VLOOKUP(BH140,Fundamentus!A:U,15,FALSE)&gt;1,"Bom",IF(VLOOKUP(BH140,Fundamentus!A:U,15,FALSE)&lt;1,"Ruim","n/a"))</f>
        <v>Bom</v>
      </c>
      <c r="EZ140" s="20" t="str">
        <f>IF(VLOOKUP(BH140,Fundamentus!A:U,20,FALSE)&lt;0.5,"Baixa",IF(VLOOKUP(BH140,Fundamentus!A:U,20,FALSE)&lt;1,"Moderada",IF(VLOOKUP(BH140,Fundamentus!A:U,20,FALSE)&lt;2,"Alerta",IF(VLOOKUP(BH140,Fundamentus!A:U,20,FALSE)&gt;2,"Alta","n/a"))))</f>
        <v>Moderada</v>
      </c>
      <c r="FA140" s="10"/>
    </row>
    <row r="141" spans="1:157" s="2" customFormat="1" ht="11.25" hidden="1" x14ac:dyDescent="0.2">
      <c r="A141" s="4">
        <v>4.6900000000000004</v>
      </c>
      <c r="B141" s="4">
        <v>4.34</v>
      </c>
      <c r="C141" s="4">
        <v>4.2699999999999996</v>
      </c>
      <c r="D141" s="4">
        <v>4.18</v>
      </c>
      <c r="E141" s="4">
        <v>4.07</v>
      </c>
      <c r="F141" s="4">
        <v>4.01</v>
      </c>
      <c r="G141" s="4">
        <v>4.07</v>
      </c>
      <c r="H141" s="4">
        <v>4.1900000000000004</v>
      </c>
      <c r="I141" s="4">
        <v>4.3</v>
      </c>
      <c r="J141" s="4">
        <v>4.2</v>
      </c>
      <c r="K141" s="4">
        <v>4.22</v>
      </c>
      <c r="L141" s="4">
        <v>4.3</v>
      </c>
      <c r="M141" s="4">
        <v>4.25</v>
      </c>
      <c r="N141" s="4">
        <v>4.37</v>
      </c>
      <c r="O141" s="4">
        <v>4.1900000000000004</v>
      </c>
      <c r="P141" s="4">
        <v>4.2300000000000004</v>
      </c>
      <c r="Q141" s="4">
        <v>4.46</v>
      </c>
      <c r="R141" s="4">
        <v>4.32</v>
      </c>
      <c r="S141" s="4">
        <v>4.34</v>
      </c>
      <c r="T141" s="4">
        <v>4.3899999999999997</v>
      </c>
      <c r="U141" s="4">
        <v>4.25</v>
      </c>
      <c r="V141" s="4">
        <v>4.22</v>
      </c>
      <c r="W141" s="4">
        <v>4.2699999999999996</v>
      </c>
      <c r="X141" s="4">
        <v>4.03</v>
      </c>
      <c r="Y141" s="4">
        <v>4.1500000000000004</v>
      </c>
      <c r="Z141" s="4">
        <v>4.1399999999999997</v>
      </c>
      <c r="AA141" s="4">
        <v>4.21</v>
      </c>
      <c r="AB141" s="4">
        <v>4.18</v>
      </c>
      <c r="AC141" s="4">
        <v>4.12</v>
      </c>
      <c r="AD141" s="4">
        <v>4.3499999999999996</v>
      </c>
      <c r="AE141" s="4">
        <v>4.49</v>
      </c>
      <c r="AF141" s="4">
        <v>4.7</v>
      </c>
      <c r="AG141" s="4">
        <v>4.7699999999999996</v>
      </c>
      <c r="AH141" s="4">
        <v>4.9000000000000004</v>
      </c>
      <c r="AI141" s="4">
        <v>4.88</v>
      </c>
      <c r="AJ141" s="4">
        <v>4.76</v>
      </c>
      <c r="AK141" s="4">
        <v>4.7</v>
      </c>
      <c r="AL141" s="4">
        <v>4.6500000000000004</v>
      </c>
      <c r="AM141" s="4">
        <v>4.78</v>
      </c>
      <c r="AN141" s="4">
        <v>4.8</v>
      </c>
      <c r="AO141" s="4">
        <v>4.47</v>
      </c>
      <c r="AP141" s="4">
        <v>4.55</v>
      </c>
      <c r="AQ141" s="4">
        <v>4.3499999999999996</v>
      </c>
      <c r="AR141" s="4">
        <v>4.04</v>
      </c>
      <c r="AS141" s="4">
        <v>4.1399999999999997</v>
      </c>
      <c r="AT141" s="4">
        <v>4.0199999999999996</v>
      </c>
      <c r="AU141" s="4">
        <v>4.03</v>
      </c>
      <c r="AV141" s="4">
        <v>3.91</v>
      </c>
      <c r="AW141" s="4">
        <v>3.8</v>
      </c>
      <c r="AX141" s="4">
        <v>3.72</v>
      </c>
      <c r="AY141" s="12">
        <v>3.66</v>
      </c>
      <c r="AZ141" s="12">
        <v>3.82</v>
      </c>
      <c r="BA141" s="12">
        <v>3.77</v>
      </c>
      <c r="BB141" s="18">
        <v>4.0599999999999996</v>
      </c>
      <c r="BC141" s="63">
        <v>4.0199999999999996</v>
      </c>
      <c r="BD141" s="63">
        <v>3.98</v>
      </c>
      <c r="BE141" s="63">
        <v>3.8</v>
      </c>
      <c r="BF141" s="63">
        <v>3.85</v>
      </c>
      <c r="BG141" s="91" cm="1">
        <f t="array" aca="1" ref="BG141" ca="1">_FV(EE141,"Preço")</f>
        <v>3.85</v>
      </c>
      <c r="BH141" s="93" t="s">
        <v>138</v>
      </c>
      <c r="BI141" s="32" cm="1">
        <f t="array" aca="1" ref="BI141" ca="1">_FV(EE141,"Beta")</f>
        <v>0.34710000000000002</v>
      </c>
      <c r="BJ141" s="96" cm="1">
        <f t="array" aca="1" ref="BJ141" ca="1">_FV(EE141,"Variação (%)",TRUE)</f>
        <v>7.8530000000000006E-3</v>
      </c>
      <c r="BK141" s="49"/>
      <c r="BL141" s="49"/>
      <c r="BN141" s="32"/>
      <c r="BO141" s="20" cm="1">
        <f t="array" aca="1" ref="BO141" ca="1">_FV(EE141,"Baixo")</f>
        <v>3.78</v>
      </c>
      <c r="BP141" s="20" cm="1">
        <f t="array" aca="1" ref="BP141" ca="1">_FV(EE141,"Alto")</f>
        <v>3.87</v>
      </c>
      <c r="BQ141" s="32"/>
      <c r="BR141" s="74">
        <f ca="1">SQRT(22.5*(BG141/VLOOKUP(BH141,Fundamentus!A:U,3,FALSE))*(BG141/VLOOKUP(BH141,Fundamentus!A:U,4,FALSE)))</f>
        <v>3.006727911512308</v>
      </c>
      <c r="BT141" s="73">
        <f t="shared" ca="1" si="158"/>
        <v>0</v>
      </c>
      <c r="BU141" s="36">
        <f t="shared" si="159"/>
        <v>-0.18976545842217493</v>
      </c>
      <c r="BV141" s="8"/>
      <c r="BW141" s="72">
        <f t="shared" si="160"/>
        <v>3.66</v>
      </c>
      <c r="BX141" s="72">
        <f t="shared" si="161"/>
        <v>4.2539655172413795</v>
      </c>
      <c r="BY141" s="72">
        <f t="shared" si="162"/>
        <v>4.9000000000000004</v>
      </c>
      <c r="BZ141" s="17"/>
      <c r="CA141" s="17"/>
      <c r="CB141" s="43">
        <f t="shared" si="163"/>
        <v>3.5638862725037548</v>
      </c>
      <c r="CC141" s="18">
        <f t="shared" si="164"/>
        <v>3.7446485473290068</v>
      </c>
      <c r="CD141" s="43">
        <f t="shared" si="165"/>
        <v>3.9254108221542587</v>
      </c>
      <c r="CE141" s="98">
        <f t="shared" ca="1" si="166"/>
        <v>0.58281769673920936</v>
      </c>
      <c r="CF141" s="17"/>
      <c r="CG141" s="20">
        <f t="shared" si="167"/>
        <v>2.1333333333333329</v>
      </c>
      <c r="CH141" s="20">
        <f t="shared" si="168"/>
        <v>2.8966666666666665</v>
      </c>
      <c r="CI141" s="20">
        <f t="shared" si="169"/>
        <v>3.3733333333333331</v>
      </c>
      <c r="CJ141" s="49">
        <f t="shared" si="170"/>
        <v>4.1366666666666667</v>
      </c>
      <c r="CK141" s="20">
        <f t="shared" si="171"/>
        <v>4.6133333333333333</v>
      </c>
      <c r="CL141" s="20">
        <f t="shared" si="172"/>
        <v>5.3766666666666669</v>
      </c>
      <c r="CM141" s="20">
        <f t="shared" si="173"/>
        <v>5.8533333333333335</v>
      </c>
      <c r="CN141" s="2" cm="1">
        <f t="array" aca="1" ref="CN141" ca="1">MAX(_xlfn._xlws.FILTER(CG141:CM141,CG141:CM141&lt;BG141))</f>
        <v>3.3733333333333331</v>
      </c>
      <c r="CO141" s="2" cm="1">
        <f t="array" aca="1" ref="CO141" ca="1">MIN(_xlfn._xlws.FILTER($CG141:$CM141,$CG141:$CM141&gt;BG141))</f>
        <v>4.1366666666666667</v>
      </c>
      <c r="CP141" s="19">
        <f t="shared" ca="1" si="141"/>
        <v>0.22628458498023729</v>
      </c>
      <c r="CQ141" s="23">
        <f t="shared" ca="1" si="142"/>
        <v>-0.11314229249011865</v>
      </c>
      <c r="CR141" s="23">
        <f t="shared" ca="1" si="143"/>
        <v>-7.5428194993412426E-2</v>
      </c>
      <c r="CS141" s="23">
        <f t="shared" ca="1" si="144"/>
        <v>-4.5256916996047461E-2</v>
      </c>
      <c r="CT141" s="23">
        <f t="shared" ca="1" si="145"/>
        <v>-2.514273166447081E-2</v>
      </c>
      <c r="CU141" s="23">
        <f t="shared" ca="1" si="146"/>
        <v>-1.3310857940013958E-2</v>
      </c>
      <c r="CV141" s="23">
        <f t="shared" ca="1" si="147"/>
        <v>-6.8571086357647661E-3</v>
      </c>
      <c r="CW141" s="23">
        <f t="shared" ca="1" si="148"/>
        <v>-3.4813013073882659E-3</v>
      </c>
      <c r="CX141" s="24">
        <f t="shared" ca="1" si="149"/>
        <v>3.4813013073882659E-3</v>
      </c>
      <c r="CY141" s="24">
        <f t="shared" ca="1" si="150"/>
        <v>6.8571086357647661E-3</v>
      </c>
      <c r="CZ141" s="24">
        <f t="shared" ca="1" si="151"/>
        <v>1.3310857940013958E-2</v>
      </c>
      <c r="DA141" s="24">
        <f t="shared" ca="1" si="152"/>
        <v>2.514273166447081E-2</v>
      </c>
      <c r="DB141" s="24">
        <f t="shared" ca="1" si="153"/>
        <v>4.5256916996047461E-2</v>
      </c>
      <c r="DC141" s="24">
        <f t="shared" ca="1" si="154"/>
        <v>7.5428194993412426E-2</v>
      </c>
      <c r="DD141" s="24">
        <f t="shared" ca="1" si="155"/>
        <v>0.11314229249011865</v>
      </c>
      <c r="DF141" s="19" cm="1">
        <f t="array" aca="1" ref="DF141" ca="1">MAX(_xlfn._xlws.FILTER(CQ141:DD141,CQ141:DD141&lt;BJ141))</f>
        <v>6.8571086357647661E-3</v>
      </c>
      <c r="DG141" s="19" cm="1">
        <f t="array" aca="1" ref="DG141" ca="1">MIN(_xlfn._xlws.FILTER(CQ141:DD141,CQ141:DD141&gt;BJ141))</f>
        <v>1.3310857940013958E-2</v>
      </c>
      <c r="DH141" s="2" cm="1">
        <f t="array" aca="1" ref="DH141" ca="1">_FV(EE141,"Fechamento anterior",TRUE)</f>
        <v>3.82</v>
      </c>
      <c r="DI141" s="36">
        <f t="shared" ca="1" si="174"/>
        <v>0.15437452845288152</v>
      </c>
      <c r="DJ141" s="18">
        <f t="shared" ca="1" si="156"/>
        <v>3.8461941549886212</v>
      </c>
      <c r="DK141" s="18">
        <f t="shared" ca="1" si="157"/>
        <v>3.870847477330853</v>
      </c>
      <c r="DL141" s="9"/>
      <c r="DM141" s="9"/>
      <c r="DN141" s="9"/>
      <c r="DO141" s="9"/>
      <c r="DP141" s="79">
        <v>3.780964797913954E-3</v>
      </c>
      <c r="DQ141" s="79">
        <v>2.1172904278885404E-2</v>
      </c>
      <c r="DR141" s="79">
        <v>6.793445223171787E-3</v>
      </c>
      <c r="DS141" s="79">
        <f t="shared" ca="1" si="175"/>
        <v>6.4537493042491918E-3</v>
      </c>
      <c r="DT141" s="47"/>
      <c r="DU141" s="43">
        <f t="shared" si="176"/>
        <v>9.0381137412626003E-2</v>
      </c>
      <c r="DV141" s="83">
        <f t="shared" ca="1" si="177"/>
        <v>0.7732</v>
      </c>
      <c r="DW141" s="83">
        <f t="shared" ca="1" si="178"/>
        <v>-0.43820000000000009</v>
      </c>
      <c r="DX141" s="83">
        <f t="shared" ca="1" si="179"/>
        <v>1.2114</v>
      </c>
      <c r="DY141" s="67"/>
      <c r="DZ141" s="67"/>
      <c r="EA141" s="85"/>
      <c r="EB141" s="44">
        <v>457700</v>
      </c>
      <c r="EC141" s="44" cm="1">
        <f t="array" aca="1" ref="EC141" ca="1">_FV(EE141,"Volume")</f>
        <v>405700</v>
      </c>
      <c r="EE141" s="2" t="e" vm="142">
        <v>#VALUE!</v>
      </c>
      <c r="EG141" s="10" cm="1">
        <f t="array" aca="1" ref="EG141" ca="1">_FV(EE141,"Ações em circulação",TRUE)</f>
        <v>1235936000</v>
      </c>
      <c r="EH141" s="21">
        <f>VLOOKUP(BH141,Fundamentus!A:U,5,FALSE)</f>
        <v>1.194</v>
      </c>
      <c r="EI141" s="2">
        <f t="shared" ca="1" si="180"/>
        <v>3985220770.5192633</v>
      </c>
      <c r="EJ141" s="20">
        <v>403702864.05360138</v>
      </c>
      <c r="EK141" s="20">
        <f t="shared" ca="1" si="181"/>
        <v>403702864.05360138</v>
      </c>
      <c r="EM141" s="40" t="str">
        <f>IF(VLOOKUP(BH141,Fundamentus!A:U,3,FALSE)&lt;15,"Bom",IF(VLOOKUP(BH141,Fundamentus!A:U,3,FALSE)&gt;15,"Ruim","n/a"))</f>
        <v>Bom</v>
      </c>
      <c r="EN141" s="36" t="str">
        <f>IF(VLOOKUP(BH141,Fundamentus!A:U,4,FALSE)&lt;1,"Baixo",IF(VLOOKUP(BH141,Fundamentus!A:U,4,FALSE)&lt;1.5,"Moderado",IF(VLOOKUP(BH141,Fundamentus!A:U,4,FALSE)&gt;1.5,"Alto","n/a")))</f>
        <v>Alto</v>
      </c>
      <c r="EO141" s="20" t="str">
        <f>IF(VLOOKUP(BH141,Fundamentus!A:U,8,FALSE)&lt;0,"Risco elevado",IF(VLOOKUP(BH141,Fundamentus!A:U,8,FALSE)&lt;1,"Saudável",IF(VLOOKUP(BH141,Fundamentus!A:U,8,FALSE)&lt;3,"Estável",IF(VLOOKUP(BH141,Fundamentus!A:U,8,FALSE)&gt;3,"Alerta","n/a"))))</f>
        <v>Alerta</v>
      </c>
      <c r="EP141" s="36" t="str">
        <f t="shared" si="182"/>
        <v>Bom</v>
      </c>
      <c r="EQ141" s="20" t="str">
        <f>IF(VLOOKUP(BH141,Fundamentus!A:U,12,FALSE)&lt;2,"Subvalorizada",IF(VLOOKUP(BH141,Fundamentus!A:U,12,FALSE)&lt;6,"Muita barata",IF(VLOOKUP(BH141,Fundamentus!A:U,12,FALSE)&lt;6,"Barata",IF(VLOOKUP(BH141,Fundamentus!A:U,12,FALSE)&lt;8,"Atrativa",IF(VLOOKUP(BH141,Fundamentus!A:U,12,FALSE)&gt;8,"Supervalorizada","n/a")))))</f>
        <v>Muita barata</v>
      </c>
      <c r="ES141" s="20" t="str">
        <f>IF(VLOOKUP(BH141,Fundamentus!A:U,17,FALSE)&lt;0.1,"Fraco retorno",IF(VLOOKUP(BH141,Fundamentus!A:U,17,FALSE)&gt;0.1,"Bom retorno","n/a"))</f>
        <v>Bom retorno</v>
      </c>
      <c r="ET141" s="20" t="str">
        <f>IF(VLOOKUP(BH141,Fundamentus!A:U,16,FALSE)&lt;0.1,"Ineficiente",IF(VLOOKUP(BH141,Fundamentus!A:U,16,FALSE)&gt;0.1,"Eficiente","n/a"))</f>
        <v>Ineficiente</v>
      </c>
      <c r="EU141" s="41" t="str">
        <f>IF(VLOOKUP(BH141,Fundamentus!A:U,16,FALSE)&lt;0.1,"Oper. Ineficiente",IF(VLOOKUP(BH141,Fundamentus!A:U,16,FALSE)&gt;0.1,"Oper.Eficiente","n/a"))</f>
        <v>Oper. Ineficiente</v>
      </c>
      <c r="EV141" s="42">
        <f>VLOOKUP(BH141,Fundamentus!A:U,14,FALSE)</f>
        <v>0.1013</v>
      </c>
      <c r="EW141" s="20" t="str">
        <f>IF(VLOOKUP(BH141,Fundamentus!A:U,21,FALSE)&lt;0,"Negativo",IF(VLOOKUP(BH141,Fundamentus!A:U,21,FALSE)&lt;0.05,"Fraco",IF(VLOOKUP(BH141,Fundamentus!A:U,21,FALSE)&lt;0.1,"Bom",IF(VLOOKUP(BH141,Fundamentus!A:U,21,FALSE)&gt;0.1,"Muito bom","n/a"))))</f>
        <v>Bom</v>
      </c>
      <c r="EY141" s="37" t="str">
        <f>IF(VLOOKUP(BH141,Fundamentus!A:U,15,FALSE)&gt;1,"Bom",IF(VLOOKUP(BH141,Fundamentus!A:U,15,FALSE)&lt;1,"Ruim","n/a"))</f>
        <v>Bom</v>
      </c>
      <c r="EZ141" s="20" t="str">
        <f>IF(VLOOKUP(BH141,Fundamentus!A:U,20,FALSE)&lt;0.5,"Baixa",IF(VLOOKUP(BH141,Fundamentus!A:U,20,FALSE)&lt;1,"Moderada",IF(VLOOKUP(BH141,Fundamentus!A:U,20,FALSE)&lt;2,"Alerta",IF(VLOOKUP(BH141,Fundamentus!A:U,20,FALSE)&gt;2,"Alta","n/a"))))</f>
        <v>Alta</v>
      </c>
      <c r="FA141" s="10"/>
    </row>
    <row r="142" spans="1:157" s="2" customFormat="1" ht="11.25" hidden="1" x14ac:dyDescent="0.2">
      <c r="A142" s="4">
        <v>7.59</v>
      </c>
      <c r="B142" s="4">
        <v>7.91</v>
      </c>
      <c r="C142" s="4">
        <v>8.09</v>
      </c>
      <c r="D142" s="4">
        <v>7.46</v>
      </c>
      <c r="E142" s="4">
        <v>7.8</v>
      </c>
      <c r="F142" s="4">
        <v>7.77</v>
      </c>
      <c r="G142" s="4">
        <v>7.26</v>
      </c>
      <c r="H142" s="4">
        <v>7.15</v>
      </c>
      <c r="I142" s="4">
        <v>6.95</v>
      </c>
      <c r="J142" s="4">
        <v>7.32</v>
      </c>
      <c r="K142" s="4">
        <v>7.29</v>
      </c>
      <c r="L142" s="4">
        <v>7.12</v>
      </c>
      <c r="M142" s="4">
        <v>6.91</v>
      </c>
      <c r="N142" s="4">
        <v>6.99</v>
      </c>
      <c r="O142" s="4">
        <v>7.94</v>
      </c>
      <c r="P142" s="4">
        <v>7.86</v>
      </c>
      <c r="Q142" s="4">
        <v>8.01</v>
      </c>
      <c r="R142" s="4">
        <v>7.88</v>
      </c>
      <c r="S142" s="4">
        <v>8.08</v>
      </c>
      <c r="T142" s="4">
        <v>7.47</v>
      </c>
      <c r="U142" s="4">
        <v>7.16</v>
      </c>
      <c r="V142" s="4">
        <v>7.51</v>
      </c>
      <c r="W142" s="4">
        <v>7.35</v>
      </c>
      <c r="X142" s="4">
        <v>7.28</v>
      </c>
      <c r="Y142" s="4">
        <v>7.21</v>
      </c>
      <c r="Z142" s="4">
        <v>7.28</v>
      </c>
      <c r="AA142" s="4">
        <v>7.46</v>
      </c>
      <c r="AB142" s="4">
        <v>7.37</v>
      </c>
      <c r="AC142" s="4">
        <v>7.24</v>
      </c>
      <c r="AD142" s="4">
        <v>7.25</v>
      </c>
      <c r="AE142" s="4">
        <v>6.98</v>
      </c>
      <c r="AF142" s="4">
        <v>7.12</v>
      </c>
      <c r="AG142" s="4">
        <v>6.82</v>
      </c>
      <c r="AH142" s="4">
        <v>6.95</v>
      </c>
      <c r="AI142" s="4">
        <v>6.5</v>
      </c>
      <c r="AJ142" s="4">
        <v>5.96</v>
      </c>
      <c r="AK142" s="4">
        <v>5.97</v>
      </c>
      <c r="AL142" s="4">
        <v>6.26</v>
      </c>
      <c r="AM142" s="4">
        <v>6.3</v>
      </c>
      <c r="AN142" s="4">
        <v>6.68</v>
      </c>
      <c r="AO142" s="4">
        <v>6.61</v>
      </c>
      <c r="AP142" s="4">
        <v>7.12</v>
      </c>
      <c r="AQ142" s="4">
        <v>6.94</v>
      </c>
      <c r="AR142" s="4">
        <v>6.38</v>
      </c>
      <c r="AS142" s="4">
        <v>6.31</v>
      </c>
      <c r="AT142" s="4">
        <v>6.45</v>
      </c>
      <c r="AU142" s="4">
        <v>6.7249999999999996</v>
      </c>
      <c r="AV142" s="4">
        <v>6.99</v>
      </c>
      <c r="AW142" s="4">
        <v>7.04</v>
      </c>
      <c r="AX142" s="4">
        <v>7.57</v>
      </c>
      <c r="AY142" s="12">
        <v>7.47</v>
      </c>
      <c r="AZ142" s="12">
        <v>7.6</v>
      </c>
      <c r="BA142" s="12">
        <v>7.7</v>
      </c>
      <c r="BB142" s="18">
        <v>7.67</v>
      </c>
      <c r="BC142" s="63">
        <v>7.72</v>
      </c>
      <c r="BD142" s="63">
        <v>7.76</v>
      </c>
      <c r="BE142" s="63">
        <v>7.99</v>
      </c>
      <c r="BF142" s="63">
        <v>7.82</v>
      </c>
      <c r="BG142" s="91" cm="1">
        <f t="array" aca="1" ref="BG142" ca="1">_FV(EE142,"Preço")</f>
        <v>7.78</v>
      </c>
      <c r="BH142" s="93" t="s">
        <v>139</v>
      </c>
      <c r="BI142" s="32" cm="1">
        <f t="array" aca="1" ref="BI142" ca="1">_FV(EE142,"Beta")</f>
        <v>1.2967</v>
      </c>
      <c r="BJ142" s="96" cm="1">
        <f t="array" aca="1" ref="BJ142" ca="1">_FV(EE142,"Variação (%)",TRUE)</f>
        <v>-2.1384E-2</v>
      </c>
      <c r="BK142" s="49"/>
      <c r="BL142" s="49"/>
      <c r="BN142" s="32"/>
      <c r="BO142" s="20" cm="1">
        <f t="array" aca="1" ref="BO142" ca="1">_FV(EE142,"Baixo")</f>
        <v>7.74</v>
      </c>
      <c r="BP142" s="20" cm="1">
        <f t="array" aca="1" ref="BP142" ca="1">_FV(EE142,"Alto")</f>
        <v>7.9</v>
      </c>
      <c r="BQ142" s="32"/>
      <c r="BR142" s="74">
        <f ca="1">SQRT(22.5*(BG142/VLOOKUP(BH142,Fundamentus!A:U,3,FALSE))*(BG142/VLOOKUP(BH142,Fundamentus!A:U,4,FALSE)))</f>
        <v>7.8211255833074986</v>
      </c>
      <c r="BT142" s="73">
        <f t="shared" ca="1" si="158"/>
        <v>-5.1150895140665009E-3</v>
      </c>
      <c r="BU142" s="36">
        <f t="shared" si="159"/>
        <v>5.2700922266139705E-2</v>
      </c>
      <c r="BV142" s="8"/>
      <c r="BW142" s="72">
        <f t="shared" si="160"/>
        <v>5.96</v>
      </c>
      <c r="BX142" s="72">
        <f t="shared" si="161"/>
        <v>7.2304310344827618</v>
      </c>
      <c r="BY142" s="72">
        <f t="shared" si="162"/>
        <v>8.09</v>
      </c>
      <c r="BZ142" s="17"/>
      <c r="CA142" s="17"/>
      <c r="CB142" s="43">
        <f t="shared" si="163"/>
        <v>7.7466607504856935</v>
      </c>
      <c r="CC142" s="18">
        <f t="shared" si="164"/>
        <v>7.9527553889409432</v>
      </c>
      <c r="CD142" s="43">
        <f t="shared" si="165"/>
        <v>8.158850027396193</v>
      </c>
      <c r="CE142" s="98">
        <f t="shared" ca="1" si="166"/>
        <v>-0.83823330017609421</v>
      </c>
      <c r="CF142" s="17"/>
      <c r="CG142" s="20">
        <f t="shared" si="167"/>
        <v>4.3600000000000003</v>
      </c>
      <c r="CH142" s="20">
        <f t="shared" si="168"/>
        <v>5.16</v>
      </c>
      <c r="CI142" s="20">
        <f t="shared" si="169"/>
        <v>6.49</v>
      </c>
      <c r="CJ142" s="49">
        <f t="shared" si="170"/>
        <v>7.29</v>
      </c>
      <c r="CK142" s="20">
        <f t="shared" si="171"/>
        <v>8.620000000000001</v>
      </c>
      <c r="CL142" s="20">
        <f t="shared" si="172"/>
        <v>9.42</v>
      </c>
      <c r="CM142" s="20">
        <f t="shared" si="173"/>
        <v>10.75</v>
      </c>
      <c r="CN142" s="2" cm="1">
        <f t="array" aca="1" ref="CN142" ca="1">MAX(_xlfn._xlws.FILTER(CG142:CM142,CG142:CM142&lt;BG142))</f>
        <v>7.29</v>
      </c>
      <c r="CO142" s="2" cm="1">
        <f t="array" aca="1" ref="CO142" ca="1">MIN(_xlfn._xlws.FILTER($CG142:$CM142,$CG142:$CM142&gt;BG142))</f>
        <v>8.620000000000001</v>
      </c>
      <c r="CP142" s="19">
        <f t="shared" ca="1" si="141"/>
        <v>0.1824417009602195</v>
      </c>
      <c r="CQ142" s="23">
        <f t="shared" ca="1" si="142"/>
        <v>-9.122085048010975E-2</v>
      </c>
      <c r="CR142" s="23">
        <f t="shared" ca="1" si="143"/>
        <v>-6.0813900320073166E-2</v>
      </c>
      <c r="CS142" s="23">
        <f t="shared" ca="1" si="144"/>
        <v>-3.6488340192043903E-2</v>
      </c>
      <c r="CT142" s="23">
        <f t="shared" ca="1" si="145"/>
        <v>-2.0271300106691054E-2</v>
      </c>
      <c r="CU142" s="23">
        <f t="shared" ca="1" si="146"/>
        <v>-1.0731864762365853E-2</v>
      </c>
      <c r="CV142" s="23">
        <f t="shared" ca="1" si="147"/>
        <v>-5.5285363927339241E-3</v>
      </c>
      <c r="CW142" s="23">
        <f t="shared" ca="1" si="148"/>
        <v>-2.8067953993879922E-3</v>
      </c>
      <c r="CX142" s="24">
        <f t="shared" ca="1" si="149"/>
        <v>2.8067953993879922E-3</v>
      </c>
      <c r="CY142" s="24">
        <f t="shared" ca="1" si="150"/>
        <v>5.5285363927339241E-3</v>
      </c>
      <c r="CZ142" s="24">
        <f t="shared" ca="1" si="151"/>
        <v>1.0731864762365853E-2</v>
      </c>
      <c r="DA142" s="24">
        <f t="shared" ca="1" si="152"/>
        <v>2.0271300106691054E-2</v>
      </c>
      <c r="DB142" s="24">
        <f t="shared" ca="1" si="153"/>
        <v>3.6488340192043903E-2</v>
      </c>
      <c r="DC142" s="24">
        <f t="shared" ca="1" si="154"/>
        <v>6.0813900320073166E-2</v>
      </c>
      <c r="DD142" s="24">
        <f t="shared" ca="1" si="155"/>
        <v>9.122085048010975E-2</v>
      </c>
      <c r="DF142" s="19" cm="1">
        <f t="array" aca="1" ref="DF142" ca="1">MAX(_xlfn._xlws.FILTER(CQ142:DD142,CQ142:DD142&lt;BJ142))</f>
        <v>-3.6488340192043903E-2</v>
      </c>
      <c r="DG142" s="19" cm="1">
        <f t="array" aca="1" ref="DG142" ca="1">MIN(_xlfn._xlws.FILTER(CQ142:DD142,CQ142:DD142&gt;BJ142))</f>
        <v>-2.0271300106691054E-2</v>
      </c>
      <c r="DH142" s="2" cm="1">
        <f t="array" aca="1" ref="DH142" ca="1">_FV(EE142,"Fechamento anterior",TRUE)</f>
        <v>7.95</v>
      </c>
      <c r="DI142" s="36">
        <f t="shared" ca="1" si="174"/>
        <v>0.9314087104553872</v>
      </c>
      <c r="DJ142" s="18">
        <f t="shared" ca="1" si="156"/>
        <v>7.6599176954732515</v>
      </c>
      <c r="DK142" s="18">
        <f t="shared" ca="1" si="157"/>
        <v>7.7888431641518059</v>
      </c>
      <c r="DL142" s="9"/>
      <c r="DM142" s="9"/>
      <c r="DN142" s="9"/>
      <c r="DO142" s="9"/>
      <c r="DP142" s="79">
        <v>9.0850881326036362E-3</v>
      </c>
      <c r="DQ142" s="79">
        <v>5.346224939570602E-3</v>
      </c>
      <c r="DR142" s="79">
        <v>2.5921090616099884E-3</v>
      </c>
      <c r="DS142" s="79">
        <f t="shared" ca="1" si="175"/>
        <v>1.6217040085352848E-2</v>
      </c>
      <c r="DT142" s="47"/>
      <c r="DU142" s="43">
        <f t="shared" si="176"/>
        <v>0.10304731922762493</v>
      </c>
      <c r="DV142" s="83">
        <f t="shared" ca="1" si="177"/>
        <v>1.7227999999999999</v>
      </c>
      <c r="DW142" s="83">
        <f t="shared" ca="1" si="178"/>
        <v>3.4350999999999998</v>
      </c>
      <c r="DX142" s="83">
        <f t="shared" ca="1" si="179"/>
        <v>-1.7122999999999999</v>
      </c>
      <c r="DY142" s="67"/>
      <c r="DZ142" s="67"/>
      <c r="EA142" s="85"/>
      <c r="EB142" s="44">
        <v>11373700</v>
      </c>
      <c r="EC142" s="44" cm="1">
        <f t="array" aca="1" ref="EC142" ca="1">_FV(EE142,"Volume")</f>
        <v>1577200</v>
      </c>
      <c r="EE142" s="2" t="e" vm="143">
        <v>#VALUE!</v>
      </c>
      <c r="EG142" s="10" cm="1">
        <f t="array" aca="1" ref="EG142" ca="1">_FV(EE142,"Ações em circulação",TRUE)</f>
        <v>2248470000</v>
      </c>
      <c r="EH142" s="21">
        <f>VLOOKUP(BH142,Fundamentus!A:U,5,FALSE)</f>
        <v>0.53400000000000003</v>
      </c>
      <c r="EI142" s="2">
        <f t="shared" ca="1" si="180"/>
        <v>32758607865.168537</v>
      </c>
      <c r="EJ142" s="20">
        <v>1409276994.6067414</v>
      </c>
      <c r="EK142" s="20">
        <f t="shared" ca="1" si="181"/>
        <v>1402068416.6292133</v>
      </c>
      <c r="EM142" s="40" t="str">
        <f>IF(VLOOKUP(BH142,Fundamentus!A:U,3,FALSE)&lt;15,"Bom",IF(VLOOKUP(BH142,Fundamentus!A:U,3,FALSE)&gt;15,"Ruim","n/a"))</f>
        <v>Bom</v>
      </c>
      <c r="EN142" s="36" t="str">
        <f>IF(VLOOKUP(BH142,Fundamentus!A:U,4,FALSE)&lt;1,"Baixo",IF(VLOOKUP(BH142,Fundamentus!A:U,4,FALSE)&lt;1.5,"Moderado",IF(VLOOKUP(BH142,Fundamentus!A:U,4,FALSE)&gt;1.5,"Alto","n/a")))</f>
        <v>Alto</v>
      </c>
      <c r="EO142" s="20" t="str">
        <f>IF(VLOOKUP(BH142,Fundamentus!A:U,8,FALSE)&lt;0,"Risco elevado",IF(VLOOKUP(BH142,Fundamentus!A:U,8,FALSE)&lt;1,"Saudável",IF(VLOOKUP(BH142,Fundamentus!A:U,8,FALSE)&lt;3,"Estável",IF(VLOOKUP(BH142,Fundamentus!A:U,8,FALSE)&gt;3,"Alerta","n/a"))))</f>
        <v>Estável</v>
      </c>
      <c r="EP142" s="36" t="str">
        <f t="shared" si="182"/>
        <v>Ruim</v>
      </c>
      <c r="EQ142" s="20" t="str">
        <f>IF(VLOOKUP(BH142,Fundamentus!A:U,12,FALSE)&lt;2,"Subvalorizada",IF(VLOOKUP(BH142,Fundamentus!A:U,12,FALSE)&lt;6,"Muita barata",IF(VLOOKUP(BH142,Fundamentus!A:U,12,FALSE)&lt;6,"Barata",IF(VLOOKUP(BH142,Fundamentus!A:U,12,FALSE)&lt;8,"Atrativa",IF(VLOOKUP(BH142,Fundamentus!A:U,12,FALSE)&gt;8,"Supervalorizada","n/a")))))</f>
        <v>Atrativa</v>
      </c>
      <c r="ES142" s="20" t="str">
        <f>IF(VLOOKUP(BH142,Fundamentus!A:U,17,FALSE)&lt;0.1,"Fraco retorno",IF(VLOOKUP(BH142,Fundamentus!A:U,17,FALSE)&gt;0.1,"Bom retorno","n/a"))</f>
        <v>Bom retorno</v>
      </c>
      <c r="ET142" s="20" t="str">
        <f>IF(VLOOKUP(BH142,Fundamentus!A:U,16,FALSE)&lt;0.1,"Ineficiente",IF(VLOOKUP(BH142,Fundamentus!A:U,16,FALSE)&gt;0.1,"Eficiente","n/a"))</f>
        <v>Eficiente</v>
      </c>
      <c r="EU142" s="41" t="str">
        <f>IF(VLOOKUP(BH142,Fundamentus!A:U,16,FALSE)&lt;0.1,"Oper. Ineficiente",IF(VLOOKUP(BH142,Fundamentus!A:U,16,FALSE)&gt;0.1,"Oper.Eficiente","n/a"))</f>
        <v>Oper.Eficiente</v>
      </c>
      <c r="EV142" s="42">
        <f>VLOOKUP(BH142,Fundamentus!A:U,14,FALSE)</f>
        <v>4.2799999999999998E-2</v>
      </c>
      <c r="EW142" s="20" t="str">
        <f>IF(VLOOKUP(BH142,Fundamentus!A:U,21,FALSE)&lt;0,"Negativo",IF(VLOOKUP(BH142,Fundamentus!A:U,21,FALSE)&lt;0.05,"Fraco",IF(VLOOKUP(BH142,Fundamentus!A:U,21,FALSE)&lt;0.1,"Bom",IF(VLOOKUP(BH142,Fundamentus!A:U,21,FALSE)&gt;0.1,"Muito bom","n/a"))))</f>
        <v>Muito bom</v>
      </c>
      <c r="EY142" s="37" t="str">
        <f>IF(VLOOKUP(BH142,Fundamentus!A:U,15,FALSE)&gt;1,"Bom",IF(VLOOKUP(BH142,Fundamentus!A:U,15,FALSE)&lt;1,"Ruim","n/a"))</f>
        <v>Bom</v>
      </c>
      <c r="EZ142" s="20" t="str">
        <f>IF(VLOOKUP(BH142,Fundamentus!A:U,20,FALSE)&lt;0.5,"Baixa",IF(VLOOKUP(BH142,Fundamentus!A:U,20,FALSE)&lt;1,"Moderada",IF(VLOOKUP(BH142,Fundamentus!A:U,20,FALSE)&lt;2,"Alerta",IF(VLOOKUP(BH142,Fundamentus!A:U,20,FALSE)&gt;2,"Alta","n/a"))))</f>
        <v>Baixa</v>
      </c>
      <c r="FA142" s="10"/>
    </row>
    <row r="143" spans="1:157" s="2" customFormat="1" ht="11.25" hidden="1" x14ac:dyDescent="0.2">
      <c r="A143" s="4">
        <v>18.61</v>
      </c>
      <c r="B143" s="4">
        <v>16.88</v>
      </c>
      <c r="C143" s="4">
        <v>17.28</v>
      </c>
      <c r="D143" s="4">
        <v>16.43</v>
      </c>
      <c r="E143" s="4">
        <v>15.86</v>
      </c>
      <c r="F143" s="4">
        <v>16.07</v>
      </c>
      <c r="G143" s="4">
        <v>15.87</v>
      </c>
      <c r="H143" s="4">
        <v>15.78</v>
      </c>
      <c r="I143" s="4">
        <v>15.8</v>
      </c>
      <c r="J143" s="4">
        <v>15.72</v>
      </c>
      <c r="K143" s="4">
        <v>16.95</v>
      </c>
      <c r="L143" s="4">
        <v>16.77</v>
      </c>
      <c r="M143" s="4">
        <v>16.28</v>
      </c>
      <c r="N143" s="4">
        <v>17.68</v>
      </c>
      <c r="O143" s="4">
        <v>17.62</v>
      </c>
      <c r="P143" s="4">
        <v>18.239999999999998</v>
      </c>
      <c r="Q143" s="4">
        <v>18.14</v>
      </c>
      <c r="R143" s="4">
        <v>17.86</v>
      </c>
      <c r="S143" s="4">
        <v>18.41</v>
      </c>
      <c r="T143" s="4">
        <v>18.399999999999999</v>
      </c>
      <c r="U143" s="4">
        <v>18.73</v>
      </c>
      <c r="V143" s="4">
        <v>18.71</v>
      </c>
      <c r="W143" s="4">
        <v>17.75</v>
      </c>
      <c r="X143" s="4">
        <v>16.98</v>
      </c>
      <c r="Y143" s="4">
        <v>17.11</v>
      </c>
      <c r="Z143" s="4">
        <v>16.95</v>
      </c>
      <c r="AA143" s="4">
        <v>16.52</v>
      </c>
      <c r="AB143" s="4">
        <v>15.91</v>
      </c>
      <c r="AC143" s="4">
        <v>16.48</v>
      </c>
      <c r="AD143" s="4">
        <v>16.21</v>
      </c>
      <c r="AE143" s="4">
        <v>15.84</v>
      </c>
      <c r="AF143" s="4">
        <v>16.11</v>
      </c>
      <c r="AG143" s="4">
        <v>15.27</v>
      </c>
      <c r="AH143" s="4">
        <v>14.9</v>
      </c>
      <c r="AI143" s="4">
        <v>14.4</v>
      </c>
      <c r="AJ143" s="4">
        <v>14.42</v>
      </c>
      <c r="AK143" s="4">
        <v>13.82</v>
      </c>
      <c r="AL143" s="4">
        <v>14.81</v>
      </c>
      <c r="AM143" s="4">
        <v>15.08</v>
      </c>
      <c r="AN143" s="4">
        <v>15.61</v>
      </c>
      <c r="AO143" s="4">
        <v>15.64</v>
      </c>
      <c r="AP143" s="4">
        <v>17.53</v>
      </c>
      <c r="AQ143" s="4">
        <v>17.190000000000001</v>
      </c>
      <c r="AR143" s="4">
        <v>16.170000000000002</v>
      </c>
      <c r="AS143" s="4">
        <v>16.8</v>
      </c>
      <c r="AT143" s="4">
        <v>17.309999999999999</v>
      </c>
      <c r="AU143" s="4">
        <v>17.215</v>
      </c>
      <c r="AV143" s="4">
        <v>17.77</v>
      </c>
      <c r="AW143" s="4">
        <v>16.899999999999999</v>
      </c>
      <c r="AX143" s="4">
        <v>17.27</v>
      </c>
      <c r="AY143" s="12">
        <v>17.84</v>
      </c>
      <c r="AZ143" s="12">
        <v>18.61</v>
      </c>
      <c r="BA143" s="12">
        <v>18.95</v>
      </c>
      <c r="BB143" s="18">
        <v>19.57</v>
      </c>
      <c r="BC143" s="63">
        <v>19.82</v>
      </c>
      <c r="BD143" s="63">
        <v>19.3</v>
      </c>
      <c r="BE143" s="63">
        <v>19.489999999999998</v>
      </c>
      <c r="BF143" s="63">
        <v>20.149999999999999</v>
      </c>
      <c r="BG143" s="91" cm="1">
        <f t="array" aca="1" ref="BG143" ca="1">_FV(EE143,"Preço")</f>
        <v>20.56</v>
      </c>
      <c r="BH143" s="93" t="s">
        <v>140</v>
      </c>
      <c r="BI143" s="32" cm="1">
        <f t="array" aca="1" ref="BI143" ca="1">_FV(EE143,"Beta")</f>
        <v>0.69069999999999998</v>
      </c>
      <c r="BJ143" s="96" cm="1">
        <f t="array" aca="1" ref="BJ143" ca="1">_FV(EE143,"Variação (%)",TRUE)</f>
        <v>-1.7208000000000001E-2</v>
      </c>
      <c r="BK143" s="49"/>
      <c r="BL143" s="49"/>
      <c r="BN143" s="32"/>
      <c r="BO143" s="20" cm="1">
        <f t="array" aca="1" ref="BO143" ca="1">_FV(EE143,"Baixo")</f>
        <v>20.52</v>
      </c>
      <c r="BP143" s="20" cm="1">
        <f t="array" aca="1" ref="BP143" ca="1">_FV(EE143,"Alto")</f>
        <v>20.96</v>
      </c>
      <c r="BQ143" s="32"/>
      <c r="BR143" s="74" t="e">
        <f ca="1">SQRT(22.5*(BG143/VLOOKUP(BH143,Fundamentus!A:U,3,FALSE))*(BG143/VLOOKUP(BH143,Fundamentus!A:U,4,FALSE)))</f>
        <v>#DIV/0!</v>
      </c>
      <c r="BT143" s="73">
        <f t="shared" ca="1" si="158"/>
        <v>2.0347394540942938E-2</v>
      </c>
      <c r="BU143" s="36">
        <f t="shared" si="159"/>
        <v>4.7286405158516877E-2</v>
      </c>
      <c r="BV143" s="8"/>
      <c r="BW143" s="72">
        <f t="shared" si="160"/>
        <v>13.82</v>
      </c>
      <c r="BX143" s="72">
        <f t="shared" si="161"/>
        <v>16.996293103448277</v>
      </c>
      <c r="BY143" s="72">
        <f t="shared" si="162"/>
        <v>20.149999999999999</v>
      </c>
      <c r="BZ143" s="17"/>
      <c r="CA143" s="17"/>
      <c r="CB143" s="43">
        <f t="shared" si="163"/>
        <v>19.307630008184134</v>
      </c>
      <c r="CC143" s="18">
        <f t="shared" si="164"/>
        <v>19.956166822867772</v>
      </c>
      <c r="CD143" s="43">
        <f t="shared" si="165"/>
        <v>20.60470363755141</v>
      </c>
      <c r="CE143" s="98">
        <f t="shared" ca="1" si="166"/>
        <v>0.93107000784031391</v>
      </c>
      <c r="CF143" s="17"/>
      <c r="CG143" s="20">
        <f t="shared" si="167"/>
        <v>9.6000000000000014</v>
      </c>
      <c r="CH143" s="20">
        <f t="shared" si="168"/>
        <v>11.71</v>
      </c>
      <c r="CI143" s="20">
        <f t="shared" si="169"/>
        <v>15.93</v>
      </c>
      <c r="CJ143" s="49">
        <f t="shared" si="170"/>
        <v>18.04</v>
      </c>
      <c r="CK143" s="20">
        <f t="shared" si="171"/>
        <v>22.259999999999998</v>
      </c>
      <c r="CL143" s="20">
        <f t="shared" si="172"/>
        <v>24.369999999999997</v>
      </c>
      <c r="CM143" s="20">
        <f t="shared" si="173"/>
        <v>28.589999999999996</v>
      </c>
      <c r="CN143" s="2" cm="1">
        <f t="array" aca="1" ref="CN143" ca="1">MAX(_xlfn._xlws.FILTER(CG143:CM143,CG143:CM143&lt;BG143))</f>
        <v>18.04</v>
      </c>
      <c r="CO143" s="2" cm="1">
        <f t="array" aca="1" ref="CO143" ca="1">MIN(_xlfn._xlws.FILTER($CG143:$CM143,$CG143:$CM143&gt;BG143))</f>
        <v>22.259999999999998</v>
      </c>
      <c r="CP143" s="19">
        <f t="shared" ca="1" si="141"/>
        <v>0.23392461197339243</v>
      </c>
      <c r="CQ143" s="23">
        <f t="shared" ca="1" si="142"/>
        <v>-0.11696230598669621</v>
      </c>
      <c r="CR143" s="23">
        <f t="shared" ca="1" si="143"/>
        <v>-7.7974870657797471E-2</v>
      </c>
      <c r="CS143" s="23">
        <f t="shared" ca="1" si="144"/>
        <v>-4.6784922394678484E-2</v>
      </c>
      <c r="CT143" s="23">
        <f t="shared" ca="1" si="145"/>
        <v>-2.5991623552599159E-2</v>
      </c>
      <c r="CU143" s="23">
        <f t="shared" ca="1" si="146"/>
        <v>-1.3760271292552495E-2</v>
      </c>
      <c r="CV143" s="23">
        <f t="shared" ca="1" si="147"/>
        <v>-7.0886246052543163E-3</v>
      </c>
      <c r="CW143" s="23">
        <f t="shared" ca="1" si="148"/>
        <v>-3.5988401842060374E-3</v>
      </c>
      <c r="CX143" s="24">
        <f t="shared" ca="1" si="149"/>
        <v>3.5988401842060374E-3</v>
      </c>
      <c r="CY143" s="24">
        <f t="shared" ca="1" si="150"/>
        <v>7.0886246052543163E-3</v>
      </c>
      <c r="CZ143" s="24">
        <f t="shared" ca="1" si="151"/>
        <v>1.3760271292552495E-2</v>
      </c>
      <c r="DA143" s="24">
        <f t="shared" ca="1" si="152"/>
        <v>2.5991623552599159E-2</v>
      </c>
      <c r="DB143" s="24">
        <f t="shared" ca="1" si="153"/>
        <v>4.6784922394678484E-2</v>
      </c>
      <c r="DC143" s="24">
        <f t="shared" ca="1" si="154"/>
        <v>7.7974870657797471E-2</v>
      </c>
      <c r="DD143" s="24">
        <f t="shared" ca="1" si="155"/>
        <v>0.11696230598669621</v>
      </c>
      <c r="DF143" s="19" cm="1">
        <f t="array" aca="1" ref="DF143" ca="1">MAX(_xlfn._xlws.FILTER(CQ143:DD143,CQ143:DD143&lt;BJ143))</f>
        <v>-2.5991623552599159E-2</v>
      </c>
      <c r="DG143" s="19" cm="1">
        <f t="array" aca="1" ref="DG143" ca="1">MIN(_xlfn._xlws.FILTER(CQ143:DD143,CQ143:DD143&gt;BJ143))</f>
        <v>-1.3760271292552495E-2</v>
      </c>
      <c r="DH143" s="2" cm="1">
        <f t="array" aca="1" ref="DH143" ca="1">_FV(EE143,"Fechamento anterior",TRUE)</f>
        <v>20.92</v>
      </c>
      <c r="DI143" s="36">
        <f t="shared" ca="1" si="174"/>
        <v>0.71808990240409643</v>
      </c>
      <c r="DJ143" s="18">
        <f t="shared" ca="1" si="156"/>
        <v>20.376255235279626</v>
      </c>
      <c r="DK143" s="18">
        <f t="shared" ca="1" si="157"/>
        <v>20.632135124559802</v>
      </c>
      <c r="DL143" s="9"/>
      <c r="DM143" s="9"/>
      <c r="DN143" s="9"/>
      <c r="DO143" s="9"/>
      <c r="DP143" s="79">
        <v>6.3540669856459306E-3</v>
      </c>
      <c r="DQ143" s="79">
        <v>6.3540669856459306E-3</v>
      </c>
      <c r="DR143" s="79">
        <v>3.1550546575270801E-3</v>
      </c>
      <c r="DS143" s="79">
        <f t="shared" ca="1" si="175"/>
        <v>1.2231352260046664E-2</v>
      </c>
      <c r="DT143" s="47"/>
      <c r="DU143" s="43">
        <f t="shared" si="176"/>
        <v>0.32426840734181878</v>
      </c>
      <c r="DV143" s="83">
        <f t="shared" ca="1" si="177"/>
        <v>1.1168</v>
      </c>
      <c r="DW143" s="83">
        <f t="shared" ca="1" si="178"/>
        <v>2.4115000000000002</v>
      </c>
      <c r="DX143" s="83">
        <f t="shared" ca="1" si="179"/>
        <v>-1.2947000000000002</v>
      </c>
      <c r="DY143" s="67"/>
      <c r="DZ143" s="67"/>
      <c r="EA143" s="85"/>
      <c r="EB143" s="44">
        <v>6129300</v>
      </c>
      <c r="EC143" s="44" cm="1">
        <f t="array" aca="1" ref="EC143" ca="1">_FV(EE143,"Volume")</f>
        <v>4302000</v>
      </c>
      <c r="EE143" s="2" t="e" vm="144">
        <v>#VALUE!</v>
      </c>
      <c r="EG143" s="10" cm="1">
        <f t="array" aca="1" ref="EG143" ca="1">_FV(EE143,"Ações em circulação",TRUE)</f>
        <v>2420804000</v>
      </c>
      <c r="EH143" s="21">
        <f>VLOOKUP(BH143,Fundamentus!A:U,5,FALSE)</f>
        <v>-7.9630000000000001</v>
      </c>
      <c r="EI143" s="2">
        <f t="shared" ca="1" si="180"/>
        <v>-6250374260.9569254</v>
      </c>
      <c r="EJ143" s="20">
        <v>-521912330.92050731</v>
      </c>
      <c r="EK143" s="20">
        <f t="shared" ca="1" si="181"/>
        <v>-532531887.03353006</v>
      </c>
      <c r="EM143" s="40" t="str">
        <f>IF(VLOOKUP(BH143,Fundamentus!A:U,3,FALSE)&lt;15,"Bom",IF(VLOOKUP(BH143,Fundamentus!A:U,3,FALSE)&gt;15,"Ruim","n/a"))</f>
        <v>Bom</v>
      </c>
      <c r="EN143" s="36" t="str">
        <f>IF(VLOOKUP(BH143,Fundamentus!A:U,4,FALSE)&lt;1,"Baixo",IF(VLOOKUP(BH143,Fundamentus!A:U,4,FALSE)&lt;1.5,"Moderado",IF(VLOOKUP(BH143,Fundamentus!A:U,4,FALSE)&gt;1.5,"Alto","n/a")))</f>
        <v>Baixo</v>
      </c>
      <c r="EO143" s="20" t="str">
        <f>IF(VLOOKUP(BH143,Fundamentus!A:U,8,FALSE)&lt;0,"Risco elevado",IF(VLOOKUP(BH143,Fundamentus!A:U,8,FALSE)&lt;1,"Saudável",IF(VLOOKUP(BH143,Fundamentus!A:U,8,FALSE)&lt;3,"Estável",IF(VLOOKUP(BH143,Fundamentus!A:U,8,FALSE)&gt;3,"Alerta","n/a"))))</f>
        <v>Saudável</v>
      </c>
      <c r="EP143" s="36" t="str">
        <f t="shared" si="182"/>
        <v>Ruim</v>
      </c>
      <c r="EQ143" s="20" t="str">
        <f>IF(VLOOKUP(BH143,Fundamentus!A:U,12,FALSE)&lt;2,"Subvalorizada",IF(VLOOKUP(BH143,Fundamentus!A:U,12,FALSE)&lt;6,"Muita barata",IF(VLOOKUP(BH143,Fundamentus!A:U,12,FALSE)&lt;6,"Barata",IF(VLOOKUP(BH143,Fundamentus!A:U,12,FALSE)&lt;8,"Atrativa",IF(VLOOKUP(BH143,Fundamentus!A:U,12,FALSE)&gt;8,"Supervalorizada","n/a")))))</f>
        <v>Subvalorizada</v>
      </c>
      <c r="ES143" s="20" t="str">
        <f>IF(VLOOKUP(BH143,Fundamentus!A:U,17,FALSE)&lt;0.1,"Fraco retorno",IF(VLOOKUP(BH143,Fundamentus!A:U,17,FALSE)&gt;0.1,"Bom retorno","n/a"))</f>
        <v>Fraco retorno</v>
      </c>
      <c r="ET143" s="20" t="str">
        <f>IF(VLOOKUP(BH143,Fundamentus!A:U,16,FALSE)&lt;0.1,"Ineficiente",IF(VLOOKUP(BH143,Fundamentus!A:U,16,FALSE)&gt;0.1,"Eficiente","n/a"))</f>
        <v>Ineficiente</v>
      </c>
      <c r="EU143" s="41" t="str">
        <f>IF(VLOOKUP(BH143,Fundamentus!A:U,16,FALSE)&lt;0.1,"Oper. Ineficiente",IF(VLOOKUP(BH143,Fundamentus!A:U,16,FALSE)&gt;0.1,"Oper.Eficiente","n/a"))</f>
        <v>Oper. Ineficiente</v>
      </c>
      <c r="EV143" s="42">
        <f>VLOOKUP(BH143,Fundamentus!A:U,14,FALSE)</f>
        <v>8.5199999999999998E-2</v>
      </c>
      <c r="EW143" s="20" t="str">
        <f>IF(VLOOKUP(BH143,Fundamentus!A:U,21,FALSE)&lt;0,"Negativo",IF(VLOOKUP(BH143,Fundamentus!A:U,21,FALSE)&lt;0.05,"Fraco",IF(VLOOKUP(BH143,Fundamentus!A:U,21,FALSE)&lt;0.1,"Bom",IF(VLOOKUP(BH143,Fundamentus!A:U,21,FALSE)&gt;0.1,"Muito bom","n/a"))))</f>
        <v>Muito bom</v>
      </c>
      <c r="EY143" s="37" t="str">
        <f>IF(VLOOKUP(BH143,Fundamentus!A:U,15,FALSE)&gt;1,"Bom",IF(VLOOKUP(BH143,Fundamentus!A:U,15,FALSE)&lt;1,"Ruim","n/a"))</f>
        <v>Ruim</v>
      </c>
      <c r="EZ143" s="20" t="str">
        <f>IF(VLOOKUP(BH143,Fundamentus!A:U,20,FALSE)&lt;0.5,"Baixa",IF(VLOOKUP(BH143,Fundamentus!A:U,20,FALSE)&lt;1,"Moderada",IF(VLOOKUP(BH143,Fundamentus!A:U,20,FALSE)&lt;2,"Alerta",IF(VLOOKUP(BH143,Fundamentus!A:U,20,FALSE)&gt;2,"Alta","n/a"))))</f>
        <v>Baixa</v>
      </c>
      <c r="FA143" s="10"/>
    </row>
    <row r="144" spans="1:157" s="2" customFormat="1" ht="11.25" hidden="1" x14ac:dyDescent="0.2">
      <c r="A144" s="4">
        <v>18.010000000000002</v>
      </c>
      <c r="B144" s="4">
        <v>16.86</v>
      </c>
      <c r="C144" s="4">
        <v>17.489999999999998</v>
      </c>
      <c r="D144" s="4">
        <v>16.14</v>
      </c>
      <c r="E144" s="4">
        <v>15.7</v>
      </c>
      <c r="F144" s="4">
        <v>16.28</v>
      </c>
      <c r="G144" s="4">
        <v>15.91</v>
      </c>
      <c r="H144" s="4">
        <v>15.56</v>
      </c>
      <c r="I144" s="4">
        <v>15.55</v>
      </c>
      <c r="J144" s="4">
        <v>15.7</v>
      </c>
      <c r="K144" s="4">
        <v>15.56</v>
      </c>
      <c r="L144" s="4">
        <v>15.5</v>
      </c>
      <c r="M144" s="4">
        <v>15.7</v>
      </c>
      <c r="N144" s="4">
        <v>15.88</v>
      </c>
      <c r="O144" s="4">
        <v>16.55</v>
      </c>
      <c r="P144" s="4">
        <v>16.91</v>
      </c>
      <c r="Q144" s="4">
        <v>16.98</v>
      </c>
      <c r="R144" s="4">
        <v>16.329999999999998</v>
      </c>
      <c r="S144" s="4">
        <v>16.239999999999998</v>
      </c>
      <c r="T144" s="4">
        <v>16.12</v>
      </c>
      <c r="U144" s="4">
        <v>15.92</v>
      </c>
      <c r="V144" s="4">
        <v>15.97</v>
      </c>
      <c r="W144" s="4">
        <v>15.4</v>
      </c>
      <c r="X144" s="4">
        <v>15.35</v>
      </c>
      <c r="Y144" s="4">
        <v>15.15</v>
      </c>
      <c r="Z144" s="4">
        <v>15.26</v>
      </c>
      <c r="AA144" s="4">
        <v>14.84</v>
      </c>
      <c r="AB144" s="4">
        <v>15.11</v>
      </c>
      <c r="AC144" s="4">
        <v>16.7</v>
      </c>
      <c r="AD144" s="4">
        <v>15.84</v>
      </c>
      <c r="AE144" s="4">
        <v>14.79</v>
      </c>
      <c r="AF144" s="4">
        <v>15</v>
      </c>
      <c r="AG144" s="4">
        <v>15.39</v>
      </c>
      <c r="AH144" s="4">
        <v>14.39</v>
      </c>
      <c r="AI144" s="4">
        <v>14.23</v>
      </c>
      <c r="AJ144" s="4">
        <v>13.87</v>
      </c>
      <c r="AK144" s="4">
        <v>14.03</v>
      </c>
      <c r="AL144" s="4">
        <v>15.05</v>
      </c>
      <c r="AM144" s="4">
        <v>15.72</v>
      </c>
      <c r="AN144" s="4">
        <v>15.65</v>
      </c>
      <c r="AO144" s="4">
        <v>15.59</v>
      </c>
      <c r="AP144" s="4">
        <v>16.21</v>
      </c>
      <c r="AQ144" s="4">
        <v>16.510000000000002</v>
      </c>
      <c r="AR144" s="4">
        <v>16.45</v>
      </c>
      <c r="AS144" s="4">
        <v>16.5</v>
      </c>
      <c r="AT144" s="4">
        <v>16.75</v>
      </c>
      <c r="AU144" s="4">
        <v>18.510000000000002</v>
      </c>
      <c r="AV144" s="4">
        <v>18.649999999999999</v>
      </c>
      <c r="AW144" s="4">
        <v>16.98</v>
      </c>
      <c r="AX144" s="4">
        <v>18.93</v>
      </c>
      <c r="AY144" s="12">
        <v>19.149999999999999</v>
      </c>
      <c r="AZ144" s="12">
        <v>19.95</v>
      </c>
      <c r="BA144" s="12">
        <v>22</v>
      </c>
      <c r="BB144" s="18">
        <v>22.28</v>
      </c>
      <c r="BC144" s="63">
        <v>22.99</v>
      </c>
      <c r="BD144" s="63">
        <v>22.39</v>
      </c>
      <c r="BE144" s="63">
        <v>22.27</v>
      </c>
      <c r="BF144" s="63">
        <v>22.5</v>
      </c>
      <c r="BG144" s="91" cm="1">
        <f t="array" aca="1" ref="BG144" ca="1">_FV(EE144,"Preço")</f>
        <v>22.84</v>
      </c>
      <c r="BH144" s="93" t="s">
        <v>141</v>
      </c>
      <c r="BI144" s="32" cm="1">
        <f t="array" aca="1" ref="BI144" ca="1">_FV(EE144,"Beta")</f>
        <v>1.3798999999999999</v>
      </c>
      <c r="BJ144" s="96" cm="1">
        <f t="array" aca="1" ref="BJ144" ca="1">_FV(EE144,"Variação (%)",TRUE)</f>
        <v>5.2820000000000002E-3</v>
      </c>
      <c r="BK144" s="49"/>
      <c r="BL144" s="49"/>
      <c r="BN144" s="32"/>
      <c r="BO144" s="20" cm="1">
        <f t="array" aca="1" ref="BO144" ca="1">_FV(EE144,"Baixo")</f>
        <v>22.42</v>
      </c>
      <c r="BP144" s="20" cm="1">
        <f t="array" aca="1" ref="BP144" ca="1">_FV(EE144,"Alto")</f>
        <v>22.85</v>
      </c>
      <c r="BQ144" s="32"/>
      <c r="BR144" s="74">
        <f ca="1">SQRT(22.5*(BG144/VLOOKUP(BH144,Fundamentus!A:U,3,FALSE))*(BG144/VLOOKUP(BH144,Fundamentus!A:U,4,FALSE)))</f>
        <v>11.321089521655967</v>
      </c>
      <c r="BT144" s="73">
        <f t="shared" ca="1" si="158"/>
        <v>1.5111111111111105E-2</v>
      </c>
      <c r="BU144" s="36">
        <f t="shared" si="159"/>
        <v>0.23653525818989438</v>
      </c>
      <c r="BV144" s="8"/>
      <c r="BW144" s="72">
        <f t="shared" si="160"/>
        <v>13.87</v>
      </c>
      <c r="BX144" s="72">
        <f t="shared" si="161"/>
        <v>16.78</v>
      </c>
      <c r="BY144" s="72">
        <f t="shared" si="162"/>
        <v>22.99</v>
      </c>
      <c r="BZ144" s="17"/>
      <c r="CA144" s="17"/>
      <c r="CB144" s="43">
        <f t="shared" si="163"/>
        <v>21.589842195439477</v>
      </c>
      <c r="CC144" s="18">
        <f t="shared" si="164"/>
        <v>22.137085285848116</v>
      </c>
      <c r="CD144" s="43">
        <f t="shared" si="165"/>
        <v>22.684328376256754</v>
      </c>
      <c r="CE144" s="98">
        <f t="shared" ca="1" si="166"/>
        <v>1.2844652156813929</v>
      </c>
      <c r="CF144" s="17"/>
      <c r="CG144" s="20">
        <f t="shared" si="167"/>
        <v>7.4633333333333329</v>
      </c>
      <c r="CH144" s="20">
        <f t="shared" si="168"/>
        <v>10.666666666666666</v>
      </c>
      <c r="CI144" s="20">
        <f t="shared" si="169"/>
        <v>16.583333333333332</v>
      </c>
      <c r="CJ144" s="49">
        <f t="shared" si="170"/>
        <v>19.786666666666665</v>
      </c>
      <c r="CK144" s="20">
        <f t="shared" si="171"/>
        <v>25.703333333333333</v>
      </c>
      <c r="CL144" s="20">
        <f t="shared" si="172"/>
        <v>28.906666666666666</v>
      </c>
      <c r="CM144" s="20">
        <f t="shared" si="173"/>
        <v>34.823333333333331</v>
      </c>
      <c r="CN144" s="2" cm="1">
        <f t="array" aca="1" ref="CN144" ca="1">MAX(_xlfn._xlws.FILTER(CG144:CM144,CG144:CM144&lt;BG144))</f>
        <v>19.786666666666665</v>
      </c>
      <c r="CO144" s="2" cm="1">
        <f t="array" aca="1" ref="CO144" ca="1">MIN(_xlfn._xlws.FILTER($CG144:$CM144,$CG144:$CM144&gt;BG144))</f>
        <v>25.703333333333333</v>
      </c>
      <c r="CP144" s="19">
        <f t="shared" ca="1" si="141"/>
        <v>0.29902291105121304</v>
      </c>
      <c r="CQ144" s="23">
        <f t="shared" ca="1" si="142"/>
        <v>-0.14951145552560652</v>
      </c>
      <c r="CR144" s="23">
        <f t="shared" ca="1" si="143"/>
        <v>-9.9674303683737683E-2</v>
      </c>
      <c r="CS144" s="23">
        <f t="shared" ca="1" si="144"/>
        <v>-5.980458221024261E-2</v>
      </c>
      <c r="CT144" s="23">
        <f t="shared" ca="1" si="145"/>
        <v>-3.3224767894579225E-2</v>
      </c>
      <c r="CU144" s="23">
        <f t="shared" ca="1" si="146"/>
        <v>-1.758958300301253E-2</v>
      </c>
      <c r="CV144" s="23">
        <f t="shared" ca="1" si="147"/>
        <v>-9.0613003348852441E-3</v>
      </c>
      <c r="CW144" s="23">
        <f t="shared" ca="1" si="148"/>
        <v>-4.60035247771097E-3</v>
      </c>
      <c r="CX144" s="24">
        <f t="shared" ca="1" si="149"/>
        <v>4.60035247771097E-3</v>
      </c>
      <c r="CY144" s="24">
        <f t="shared" ca="1" si="150"/>
        <v>9.0613003348852441E-3</v>
      </c>
      <c r="CZ144" s="24">
        <f t="shared" ca="1" si="151"/>
        <v>1.758958300301253E-2</v>
      </c>
      <c r="DA144" s="24">
        <f t="shared" ca="1" si="152"/>
        <v>3.3224767894579225E-2</v>
      </c>
      <c r="DB144" s="24">
        <f t="shared" ca="1" si="153"/>
        <v>5.980458221024261E-2</v>
      </c>
      <c r="DC144" s="24">
        <f t="shared" ca="1" si="154"/>
        <v>9.9674303683737683E-2</v>
      </c>
      <c r="DD144" s="24">
        <f t="shared" ca="1" si="155"/>
        <v>0.14951145552560652</v>
      </c>
      <c r="DF144" s="19" cm="1">
        <f t="array" aca="1" ref="DF144" ca="1">MAX(_xlfn._xlws.FILTER(CQ144:DD144,CQ144:DD144&lt;BJ144))</f>
        <v>4.60035247771097E-3</v>
      </c>
      <c r="DG144" s="19" cm="1">
        <f t="array" aca="1" ref="DG144" ca="1">MIN(_xlfn._xlws.FILTER(CQ144:DD144,CQ144:DD144&gt;BJ144))</f>
        <v>9.0613003348852441E-3</v>
      </c>
      <c r="DH144" s="2" cm="1">
        <f t="array" aca="1" ref="DH144" ca="1">_FV(EE144,"Fechamento anterior",TRUE)</f>
        <v>22.72</v>
      </c>
      <c r="DI144" s="36">
        <f t="shared" ca="1" si="174"/>
        <v>0.15273383257290618</v>
      </c>
      <c r="DJ144" s="18">
        <f t="shared" ca="1" si="156"/>
        <v>22.824520008293593</v>
      </c>
      <c r="DK144" s="18">
        <f t="shared" ca="1" si="157"/>
        <v>22.92587274360859</v>
      </c>
      <c r="DL144" s="9"/>
      <c r="DM144" s="9"/>
      <c r="DN144" s="9"/>
      <c r="DO144" s="9"/>
      <c r="DP144" s="79">
        <v>1.8396203336758135E-2</v>
      </c>
      <c r="DQ144" s="79">
        <v>2.1481076483810233E-2</v>
      </c>
      <c r="DR144" s="79">
        <v>7.4357572443958502E-3</v>
      </c>
      <c r="DS144" s="79">
        <f t="shared" ca="1" si="175"/>
        <v>4.4609478571742741E-3</v>
      </c>
      <c r="DT144" s="47"/>
      <c r="DU144" s="43">
        <f t="shared" si="176"/>
        <v>0.27362154520431986</v>
      </c>
      <c r="DV144" s="83">
        <f t="shared" ca="1" si="177"/>
        <v>1.8059999999999998</v>
      </c>
      <c r="DW144" s="83">
        <f t="shared" ca="1" si="178"/>
        <v>0.8516999999999999</v>
      </c>
      <c r="DX144" s="83">
        <f t="shared" ca="1" si="179"/>
        <v>0.95429999999999993</v>
      </c>
      <c r="DY144" s="67"/>
      <c r="DZ144" s="67"/>
      <c r="EA144" s="85"/>
      <c r="EB144" s="44">
        <v>2400</v>
      </c>
      <c r="EC144" s="44" cm="1">
        <f t="array" aca="1" ref="EC144" ca="1">_FV(EE144,"Volume")</f>
        <v>4600</v>
      </c>
      <c r="EE144" s="2" t="e" vm="145">
        <v>#VALUE!</v>
      </c>
      <c r="EG144" s="10" cm="1">
        <f t="array" aca="1" ref="EG144" ca="1">_FV(EE144,"Ações em circulação",TRUE)</f>
        <v>10108690000</v>
      </c>
      <c r="EH144" s="21">
        <f>VLOOKUP(BH144,Fundamentus!A:U,5,FALSE)</f>
        <v>0</v>
      </c>
      <c r="EI144" s="2" t="e">
        <f t="shared" ca="1" si="180"/>
        <v>#DIV/0!</v>
      </c>
      <c r="EJ144" s="20" t="e">
        <v>#DIV/0!</v>
      </c>
      <c r="EK144" s="20" t="e">
        <f t="shared" ca="1" si="181"/>
        <v>#DIV/0!</v>
      </c>
      <c r="EM144" s="40" t="str">
        <f>IF(VLOOKUP(BH144,Fundamentus!A:U,3,FALSE)&lt;15,"Bom",IF(VLOOKUP(BH144,Fundamentus!A:U,3,FALSE)&gt;15,"Ruim","n/a"))</f>
        <v>Ruim</v>
      </c>
      <c r="EN144" s="36" t="str">
        <f>IF(VLOOKUP(BH144,Fundamentus!A:U,4,FALSE)&lt;1,"Baixo",IF(VLOOKUP(BH144,Fundamentus!A:U,4,FALSE)&lt;1.5,"Moderado",IF(VLOOKUP(BH144,Fundamentus!A:U,4,FALSE)&gt;1.5,"Alto","n/a")))</f>
        <v>Alto</v>
      </c>
      <c r="EO144" s="20" t="str">
        <f>IF(VLOOKUP(BH144,Fundamentus!A:U,8,FALSE)&lt;0,"Risco elevado",IF(VLOOKUP(BH144,Fundamentus!A:U,8,FALSE)&lt;1,"Saudável",IF(VLOOKUP(BH144,Fundamentus!A:U,8,FALSE)&lt;3,"Estável",IF(VLOOKUP(BH144,Fundamentus!A:U,8,FALSE)&gt;3,"Alerta","n/a"))))</f>
        <v>Saudável</v>
      </c>
      <c r="EP144" s="36" t="str">
        <f t="shared" si="182"/>
        <v>Ruim</v>
      </c>
      <c r="EQ144" s="20" t="str">
        <f>IF(VLOOKUP(BH144,Fundamentus!A:U,12,FALSE)&lt;2,"Subvalorizada",IF(VLOOKUP(BH144,Fundamentus!A:U,12,FALSE)&lt;6,"Muita barata",IF(VLOOKUP(BH144,Fundamentus!A:U,12,FALSE)&lt;6,"Barata",IF(VLOOKUP(BH144,Fundamentus!A:U,12,FALSE)&lt;8,"Atrativa",IF(VLOOKUP(BH144,Fundamentus!A:U,12,FALSE)&gt;8,"Supervalorizada","n/a")))))</f>
        <v>Subvalorizada</v>
      </c>
      <c r="ES144" s="20" t="str">
        <f>IF(VLOOKUP(BH144,Fundamentus!A:U,17,FALSE)&lt;0.1,"Fraco retorno",IF(VLOOKUP(BH144,Fundamentus!A:U,17,FALSE)&gt;0.1,"Bom retorno","n/a"))</f>
        <v>Bom retorno</v>
      </c>
      <c r="ET144" s="20" t="str">
        <f>IF(VLOOKUP(BH144,Fundamentus!A:U,16,FALSE)&lt;0.1,"Ineficiente",IF(VLOOKUP(BH144,Fundamentus!A:U,16,FALSE)&gt;0.1,"Eficiente","n/a"))</f>
        <v>Ineficiente</v>
      </c>
      <c r="EU144" s="41" t="str">
        <f>IF(VLOOKUP(BH144,Fundamentus!A:U,16,FALSE)&lt;0.1,"Oper. Ineficiente",IF(VLOOKUP(BH144,Fundamentus!A:U,16,FALSE)&gt;0.1,"Oper.Eficiente","n/a"))</f>
        <v>Oper. Ineficiente</v>
      </c>
      <c r="EV144" s="42">
        <f>VLOOKUP(BH144,Fundamentus!A:U,14,FALSE)</f>
        <v>0</v>
      </c>
      <c r="EW144" s="20" t="str">
        <f>IF(VLOOKUP(BH144,Fundamentus!A:U,21,FALSE)&lt;0,"Negativo",IF(VLOOKUP(BH144,Fundamentus!A:U,21,FALSE)&lt;0.05,"Fraco",IF(VLOOKUP(BH144,Fundamentus!A:U,21,FALSE)&lt;0.1,"Bom",IF(VLOOKUP(BH144,Fundamentus!A:U,21,FALSE)&gt;0.1,"Muito bom","n/a"))))</f>
        <v>Muito bom</v>
      </c>
      <c r="EY144" s="37" t="str">
        <f>IF(VLOOKUP(BH144,Fundamentus!A:U,15,FALSE)&gt;1,"Bom",IF(VLOOKUP(BH144,Fundamentus!A:U,15,FALSE)&lt;1,"Ruim","n/a"))</f>
        <v>Ruim</v>
      </c>
      <c r="EZ144" s="20" t="str">
        <f>IF(VLOOKUP(BH144,Fundamentus!A:U,20,FALSE)&lt;0.5,"Baixa",IF(VLOOKUP(BH144,Fundamentus!A:U,20,FALSE)&lt;1,"Moderada",IF(VLOOKUP(BH144,Fundamentus!A:U,20,FALSE)&lt;2,"Alerta",IF(VLOOKUP(BH144,Fundamentus!A:U,20,FALSE)&gt;2,"Alta","n/a"))))</f>
        <v>Baixa</v>
      </c>
      <c r="FA144" s="10"/>
    </row>
    <row r="145" spans="1:157" s="2" customFormat="1" ht="11.25" hidden="1" x14ac:dyDescent="0.2">
      <c r="A145" s="4">
        <v>22.87</v>
      </c>
      <c r="B145" s="4">
        <v>23.92</v>
      </c>
      <c r="C145" s="4">
        <v>23.06</v>
      </c>
      <c r="D145" s="4">
        <v>22.16</v>
      </c>
      <c r="E145" s="4">
        <v>21.71</v>
      </c>
      <c r="F145" s="4">
        <v>21.73</v>
      </c>
      <c r="G145" s="4">
        <v>20.350000000000001</v>
      </c>
      <c r="H145" s="4">
        <v>20.45</v>
      </c>
      <c r="I145" s="4">
        <v>20.9</v>
      </c>
      <c r="J145" s="4">
        <v>22.78</v>
      </c>
      <c r="K145" s="4">
        <v>23.14</v>
      </c>
      <c r="L145" s="4">
        <v>22.54</v>
      </c>
      <c r="M145" s="4">
        <v>23.16</v>
      </c>
      <c r="N145" s="4">
        <v>24.36</v>
      </c>
      <c r="O145" s="4">
        <v>26.47</v>
      </c>
      <c r="P145" s="4">
        <v>26.3</v>
      </c>
      <c r="Q145" s="4">
        <v>27.02</v>
      </c>
      <c r="R145" s="4">
        <v>26.42</v>
      </c>
      <c r="S145" s="4">
        <v>27.97</v>
      </c>
      <c r="T145" s="4">
        <v>28.57</v>
      </c>
      <c r="U145" s="4">
        <v>28</v>
      </c>
      <c r="V145" s="4">
        <v>27.11</v>
      </c>
      <c r="W145" s="4">
        <v>27.7</v>
      </c>
      <c r="X145" s="4">
        <v>26.92</v>
      </c>
      <c r="Y145" s="4">
        <v>25.28</v>
      </c>
      <c r="Z145" s="4">
        <v>24.71</v>
      </c>
      <c r="AA145" s="4">
        <v>24.74</v>
      </c>
      <c r="AB145" s="4">
        <v>25.5</v>
      </c>
      <c r="AC145" s="4">
        <v>24</v>
      </c>
      <c r="AD145" s="4">
        <v>23.77</v>
      </c>
      <c r="AE145" s="4">
        <v>22.93</v>
      </c>
      <c r="AF145" s="4">
        <v>22.72</v>
      </c>
      <c r="AG145" s="4">
        <v>21.41</v>
      </c>
      <c r="AH145" s="4">
        <v>19.96</v>
      </c>
      <c r="AI145" s="4">
        <v>19.27</v>
      </c>
      <c r="AJ145" s="4">
        <v>18.100000000000001</v>
      </c>
      <c r="AK145" s="4">
        <v>18.5</v>
      </c>
      <c r="AL145" s="4">
        <v>19.2</v>
      </c>
      <c r="AM145" s="4">
        <v>20.239999999999998</v>
      </c>
      <c r="AN145" s="4">
        <v>21.43</v>
      </c>
      <c r="AO145" s="4">
        <v>19.989999999999998</v>
      </c>
      <c r="AP145" s="4">
        <v>18.989999999999998</v>
      </c>
      <c r="AQ145" s="4">
        <v>19.16</v>
      </c>
      <c r="AR145" s="4">
        <v>17.059999999999999</v>
      </c>
      <c r="AS145" s="4">
        <v>17.79</v>
      </c>
      <c r="AT145" s="4">
        <v>17.850000000000001</v>
      </c>
      <c r="AU145" s="4">
        <v>19.195</v>
      </c>
      <c r="AV145" s="4">
        <v>20.09</v>
      </c>
      <c r="AW145" s="4">
        <v>19.829999999999998</v>
      </c>
      <c r="AX145" s="4">
        <v>19.899999999999999</v>
      </c>
      <c r="AY145" s="12">
        <v>19.920000000000002</v>
      </c>
      <c r="AZ145" s="12">
        <v>21.14</v>
      </c>
      <c r="BA145" s="12">
        <v>22.11</v>
      </c>
      <c r="BB145" s="18">
        <v>21.9</v>
      </c>
      <c r="BC145" s="63">
        <v>24.14</v>
      </c>
      <c r="BD145" s="63">
        <v>24.61</v>
      </c>
      <c r="BE145" s="63">
        <v>25.99</v>
      </c>
      <c r="BF145" s="63">
        <v>24.62</v>
      </c>
      <c r="BG145" s="91" cm="1">
        <f t="array" aca="1" ref="BG145" ca="1">_FV(EE145,"Preço")</f>
        <v>24.36</v>
      </c>
      <c r="BH145" s="93" t="s">
        <v>142</v>
      </c>
      <c r="BI145" s="32" cm="1">
        <f t="array" aca="1" ref="BI145" ca="1">_FV(EE145,"Beta")</f>
        <v>1.3922000000000001</v>
      </c>
      <c r="BJ145" s="96" cm="1">
        <f t="array" aca="1" ref="BJ145" ca="1">_FV(EE145,"Variação (%)",TRUE)</f>
        <v>-1.1765000000000001E-2</v>
      </c>
      <c r="BK145" s="49"/>
      <c r="BL145" s="49"/>
      <c r="BN145" s="32"/>
      <c r="BO145" s="20" cm="1">
        <f t="array" aca="1" ref="BO145" ca="1">_FV(EE145,"Baixo")</f>
        <v>23.84</v>
      </c>
      <c r="BP145" s="20" cm="1">
        <f t="array" aca="1" ref="BP145" ca="1">_FV(EE145,"Alto")</f>
        <v>24.44</v>
      </c>
      <c r="BQ145" s="32"/>
      <c r="BR145" s="74">
        <f ca="1">SQRT(22.5*(BG145/VLOOKUP(BH145,Fundamentus!A:U,3,FALSE))*(BG145/VLOOKUP(BH145,Fundamentus!A:U,4,FALSE)))</f>
        <v>26.838352130425477</v>
      </c>
      <c r="BT145" s="73">
        <f t="shared" ca="1" si="158"/>
        <v>-1.056051990251834E-2</v>
      </c>
      <c r="BU145" s="36">
        <f t="shared" si="159"/>
        <v>0.13642326191517259</v>
      </c>
      <c r="BV145" s="8"/>
      <c r="BW145" s="72">
        <f t="shared" si="160"/>
        <v>17.059999999999999</v>
      </c>
      <c r="BX145" s="72">
        <f t="shared" si="161"/>
        <v>22.614741379310342</v>
      </c>
      <c r="BY145" s="72">
        <f t="shared" si="162"/>
        <v>28.57</v>
      </c>
      <c r="BZ145" s="17"/>
      <c r="CA145" s="17"/>
      <c r="CB145" s="43">
        <f t="shared" si="163"/>
        <v>24.159944224687056</v>
      </c>
      <c r="CC145" s="18">
        <f t="shared" si="164"/>
        <v>25.543345829428063</v>
      </c>
      <c r="CD145" s="43">
        <f t="shared" si="165"/>
        <v>26.926747434169069</v>
      </c>
      <c r="CE145" s="98">
        <f t="shared" ca="1" si="166"/>
        <v>-0.85538850422947366</v>
      </c>
      <c r="CF145" s="17"/>
      <c r="CG145" s="20">
        <f t="shared" si="167"/>
        <v>6.7533333333333339</v>
      </c>
      <c r="CH145" s="20">
        <f t="shared" si="168"/>
        <v>11.906666666666666</v>
      </c>
      <c r="CI145" s="20">
        <f t="shared" si="169"/>
        <v>18.263333333333335</v>
      </c>
      <c r="CJ145" s="49">
        <f t="shared" si="170"/>
        <v>23.416666666666668</v>
      </c>
      <c r="CK145" s="20">
        <f t="shared" si="171"/>
        <v>29.773333333333337</v>
      </c>
      <c r="CL145" s="20">
        <f t="shared" si="172"/>
        <v>34.926666666666669</v>
      </c>
      <c r="CM145" s="20">
        <f t="shared" si="173"/>
        <v>41.283333333333339</v>
      </c>
      <c r="CN145" s="2" cm="1">
        <f t="array" aca="1" ref="CN145" ca="1">MAX(_xlfn._xlws.FILTER(CG145:CM145,CG145:CM145&lt;BG145))</f>
        <v>23.416666666666668</v>
      </c>
      <c r="CO145" s="2" cm="1">
        <f t="array" aca="1" ref="CO145" ca="1">MIN(_xlfn._xlws.FILTER($CG145:$CM145,$CG145:$CM145&gt;BG145))</f>
        <v>29.773333333333337</v>
      </c>
      <c r="CP145" s="19">
        <f t="shared" ca="1" si="141"/>
        <v>0.27145907473309627</v>
      </c>
      <c r="CQ145" s="23">
        <f t="shared" ca="1" si="142"/>
        <v>-0.13572953736654814</v>
      </c>
      <c r="CR145" s="23">
        <f t="shared" ca="1" si="143"/>
        <v>-9.048635824436542E-2</v>
      </c>
      <c r="CS145" s="23">
        <f t="shared" ca="1" si="144"/>
        <v>-5.4291814946619256E-2</v>
      </c>
      <c r="CT145" s="23">
        <f t="shared" ca="1" si="145"/>
        <v>-3.0162119414788476E-2</v>
      </c>
      <c r="CU145" s="23">
        <f t="shared" ca="1" si="146"/>
        <v>-1.596818086665272E-2</v>
      </c>
      <c r="CV145" s="23">
        <f t="shared" ca="1" si="147"/>
        <v>-8.2260325676695844E-3</v>
      </c>
      <c r="CW145" s="23">
        <f t="shared" ca="1" si="148"/>
        <v>-4.1762934574322503E-3</v>
      </c>
      <c r="CX145" s="24">
        <f t="shared" ca="1" si="149"/>
        <v>4.1762934574322503E-3</v>
      </c>
      <c r="CY145" s="24">
        <f t="shared" ca="1" si="150"/>
        <v>8.2260325676695844E-3</v>
      </c>
      <c r="CZ145" s="24">
        <f t="shared" ca="1" si="151"/>
        <v>1.596818086665272E-2</v>
      </c>
      <c r="DA145" s="24">
        <f t="shared" ca="1" si="152"/>
        <v>3.0162119414788476E-2</v>
      </c>
      <c r="DB145" s="24">
        <f t="shared" ca="1" si="153"/>
        <v>5.4291814946619256E-2</v>
      </c>
      <c r="DC145" s="24">
        <f t="shared" ca="1" si="154"/>
        <v>9.048635824436542E-2</v>
      </c>
      <c r="DD145" s="24">
        <f t="shared" ca="1" si="155"/>
        <v>0.13572953736654814</v>
      </c>
      <c r="DF145" s="19" cm="1">
        <f t="array" aca="1" ref="DF145" ca="1">MAX(_xlfn._xlws.FILTER(CQ145:DD145,CQ145:DD145&lt;BJ145))</f>
        <v>-1.596818086665272E-2</v>
      </c>
      <c r="DG145" s="19" cm="1">
        <f t="array" aca="1" ref="DG145" ca="1">MIN(_xlfn._xlws.FILTER(CQ145:DD145,CQ145:DD145&gt;BJ145))</f>
        <v>-8.2260325676695844E-3</v>
      </c>
      <c r="DH145" s="2" cm="1">
        <f t="array" aca="1" ref="DH145" ca="1">_FV(EE145,"Fechamento anterior",TRUE)</f>
        <v>24.65</v>
      </c>
      <c r="DI145" s="36">
        <f t="shared" ca="1" si="174"/>
        <v>0.54293392763503123</v>
      </c>
      <c r="DJ145" s="18">
        <f t="shared" ca="1" si="156"/>
        <v>24.256384341637009</v>
      </c>
      <c r="DK145" s="18">
        <f t="shared" ca="1" si="157"/>
        <v>24.447228297206944</v>
      </c>
      <c r="DL145" s="9"/>
      <c r="DM145" s="9"/>
      <c r="DN145" s="9"/>
      <c r="DO145" s="9"/>
      <c r="DP145" s="79">
        <v>2.2475263584752648E-2</v>
      </c>
      <c r="DQ145" s="79">
        <v>7.211314519171971E-3</v>
      </c>
      <c r="DR145" s="79">
        <v>1.3220743285148615E-2</v>
      </c>
      <c r="DS145" s="79">
        <f t="shared" ca="1" si="175"/>
        <v>7.7421482989831359E-3</v>
      </c>
      <c r="DT145" s="47"/>
      <c r="DU145" s="43">
        <f t="shared" si="176"/>
        <v>0.6917008023705038</v>
      </c>
      <c r="DV145" s="83">
        <f t="shared" ca="1" si="177"/>
        <v>1.8183</v>
      </c>
      <c r="DW145" s="83">
        <f t="shared" ca="1" si="178"/>
        <v>2.5687000000000002</v>
      </c>
      <c r="DX145" s="83">
        <f t="shared" ca="1" si="179"/>
        <v>-0.75040000000000018</v>
      </c>
      <c r="DY145" s="67"/>
      <c r="DZ145" s="67"/>
      <c r="EA145" s="85"/>
      <c r="EB145" s="44">
        <v>5410100</v>
      </c>
      <c r="EC145" s="44" cm="1">
        <f t="array" aca="1" ref="EC145" ca="1">_FV(EE145,"Volume")</f>
        <v>1826100</v>
      </c>
      <c r="EE145" s="2" t="e" vm="146">
        <v>#VALUE!</v>
      </c>
      <c r="EG145" s="10" cm="1">
        <f t="array" aca="1" ref="EG145" ca="1">_FV(EE145,"Ações em circulação",TRUE)</f>
        <v>236197800</v>
      </c>
      <c r="EH145" s="21">
        <f>VLOOKUP(BH145,Fundamentus!A:U,5,FALSE)</f>
        <v>2.2320000000000002</v>
      </c>
      <c r="EI145" s="2">
        <f t="shared" ca="1" si="180"/>
        <v>2577857709.6774192</v>
      </c>
      <c r="EJ145" s="20">
        <v>714914019.264516</v>
      </c>
      <c r="EK145" s="20">
        <f t="shared" ca="1" si="181"/>
        <v>707364155.53548372</v>
      </c>
      <c r="EM145" s="40" t="str">
        <f>IF(VLOOKUP(BH145,Fundamentus!A:U,3,FALSE)&lt;15,"Bom",IF(VLOOKUP(BH145,Fundamentus!A:U,3,FALSE)&gt;15,"Ruim","n/a"))</f>
        <v>Bom</v>
      </c>
      <c r="EN145" s="36" t="str">
        <f>IF(VLOOKUP(BH145,Fundamentus!A:U,4,FALSE)&lt;1,"Baixo",IF(VLOOKUP(BH145,Fundamentus!A:U,4,FALSE)&lt;1.5,"Moderado",IF(VLOOKUP(BH145,Fundamentus!A:U,4,FALSE)&gt;1.5,"Alto","n/a")))</f>
        <v>Alto</v>
      </c>
      <c r="EO145" s="20" t="str">
        <f>IF(VLOOKUP(BH145,Fundamentus!A:U,8,FALSE)&lt;0,"Risco elevado",IF(VLOOKUP(BH145,Fundamentus!A:U,8,FALSE)&lt;1,"Saudável",IF(VLOOKUP(BH145,Fundamentus!A:U,8,FALSE)&lt;3,"Estável",IF(VLOOKUP(BH145,Fundamentus!A:U,8,FALSE)&gt;3,"Alerta","n/a"))))</f>
        <v>Alerta</v>
      </c>
      <c r="EP145" s="36" t="str">
        <f t="shared" si="182"/>
        <v>Bom</v>
      </c>
      <c r="EQ145" s="20" t="str">
        <f>IF(VLOOKUP(BH145,Fundamentus!A:U,12,FALSE)&lt;2,"Subvalorizada",IF(VLOOKUP(BH145,Fundamentus!A:U,12,FALSE)&lt;6,"Muita barata",IF(VLOOKUP(BH145,Fundamentus!A:U,12,FALSE)&lt;6,"Barata",IF(VLOOKUP(BH145,Fundamentus!A:U,12,FALSE)&lt;8,"Atrativa",IF(VLOOKUP(BH145,Fundamentus!A:U,12,FALSE)&gt;8,"Supervalorizada","n/a")))))</f>
        <v>Atrativa</v>
      </c>
      <c r="ES145" s="20" t="str">
        <f>IF(VLOOKUP(BH145,Fundamentus!A:U,17,FALSE)&lt;0.1,"Fraco retorno",IF(VLOOKUP(BH145,Fundamentus!A:U,17,FALSE)&gt;0.1,"Bom retorno","n/a"))</f>
        <v>Bom retorno</v>
      </c>
      <c r="ET145" s="20" t="str">
        <f>IF(VLOOKUP(BH145,Fundamentus!A:U,16,FALSE)&lt;0.1,"Ineficiente",IF(VLOOKUP(BH145,Fundamentus!A:U,16,FALSE)&gt;0.1,"Eficiente","n/a"))</f>
        <v>Eficiente</v>
      </c>
      <c r="EU145" s="41" t="str">
        <f>IF(VLOOKUP(BH145,Fundamentus!A:U,16,FALSE)&lt;0.1,"Oper. Ineficiente",IF(VLOOKUP(BH145,Fundamentus!A:U,16,FALSE)&gt;0.1,"Oper.Eficiente","n/a"))</f>
        <v>Oper.Eficiente</v>
      </c>
      <c r="EV145" s="42">
        <f>VLOOKUP(BH145,Fundamentus!A:U,14,FALSE)</f>
        <v>0.27439999999999998</v>
      </c>
      <c r="EW145" s="20" t="str">
        <f>IF(VLOOKUP(BH145,Fundamentus!A:U,21,FALSE)&lt;0,"Negativo",IF(VLOOKUP(BH145,Fundamentus!A:U,21,FALSE)&lt;0.05,"Fraco",IF(VLOOKUP(BH145,Fundamentus!A:U,21,FALSE)&lt;0.1,"Bom",IF(VLOOKUP(BH145,Fundamentus!A:U,21,FALSE)&gt;0.1,"Muito bom","n/a"))))</f>
        <v>Muito bom</v>
      </c>
      <c r="EY145" s="37" t="str">
        <f>IF(VLOOKUP(BH145,Fundamentus!A:U,15,FALSE)&gt;1,"Bom",IF(VLOOKUP(BH145,Fundamentus!A:U,15,FALSE)&lt;1,"Ruim","n/a"))</f>
        <v>Bom</v>
      </c>
      <c r="EZ145" s="20" t="str">
        <f>IF(VLOOKUP(BH145,Fundamentus!A:U,20,FALSE)&lt;0.5,"Baixa",IF(VLOOKUP(BH145,Fundamentus!A:U,20,FALSE)&lt;1,"Moderada",IF(VLOOKUP(BH145,Fundamentus!A:U,20,FALSE)&lt;2,"Alerta",IF(VLOOKUP(BH145,Fundamentus!A:U,20,FALSE)&gt;2,"Alta","n/a"))))</f>
        <v>Baixa</v>
      </c>
      <c r="FA145" s="10"/>
    </row>
    <row r="146" spans="1:157" s="2" customFormat="1" ht="11.25" hidden="1" x14ac:dyDescent="0.2">
      <c r="A146" s="4">
        <v>22.9</v>
      </c>
      <c r="B146" s="4">
        <v>22.25</v>
      </c>
      <c r="C146" s="4">
        <v>22.7</v>
      </c>
      <c r="D146" s="4">
        <v>21.82</v>
      </c>
      <c r="E146" s="4">
        <v>21.68</v>
      </c>
      <c r="F146" s="4">
        <v>21.94</v>
      </c>
      <c r="G146" s="4">
        <v>22.43</v>
      </c>
      <c r="H146" s="4">
        <v>22.89</v>
      </c>
      <c r="I146" s="4">
        <v>23.35</v>
      </c>
      <c r="J146" s="4">
        <v>24.74</v>
      </c>
      <c r="K146" s="4">
        <v>23.39</v>
      </c>
      <c r="L146" s="4">
        <v>23.15</v>
      </c>
      <c r="M146" s="4">
        <v>21.45</v>
      </c>
      <c r="N146" s="4">
        <v>22.49</v>
      </c>
      <c r="O146" s="4">
        <v>23.55</v>
      </c>
      <c r="P146" s="4">
        <v>23.81</v>
      </c>
      <c r="Q146" s="4">
        <v>24.57</v>
      </c>
      <c r="R146" s="4">
        <v>23.4</v>
      </c>
      <c r="S146" s="4">
        <v>23.1</v>
      </c>
      <c r="T146" s="4">
        <v>23.15</v>
      </c>
      <c r="U146" s="4">
        <v>22.63</v>
      </c>
      <c r="V146" s="4">
        <v>22.35</v>
      </c>
      <c r="W146" s="4">
        <v>23.22</v>
      </c>
      <c r="X146" s="4">
        <v>21.83</v>
      </c>
      <c r="Y146" s="4">
        <v>21.66</v>
      </c>
      <c r="Z146" s="4">
        <v>22.31</v>
      </c>
      <c r="AA146" s="4">
        <v>22.4</v>
      </c>
      <c r="AB146" s="4">
        <v>23.36</v>
      </c>
      <c r="AC146" s="4">
        <v>22.14</v>
      </c>
      <c r="AD146" s="4">
        <v>21.7</v>
      </c>
      <c r="AE146" s="4">
        <v>20.2</v>
      </c>
      <c r="AF146" s="4">
        <v>21.59</v>
      </c>
      <c r="AG146" s="4">
        <v>19.14</v>
      </c>
      <c r="AH146" s="4">
        <v>17.829999999999998</v>
      </c>
      <c r="AI146" s="4">
        <v>18.27</v>
      </c>
      <c r="AJ146" s="4">
        <v>17.98</v>
      </c>
      <c r="AK146" s="4">
        <v>18.02</v>
      </c>
      <c r="AL146" s="4">
        <v>18.739999999999998</v>
      </c>
      <c r="AM146" s="4">
        <v>16.55</v>
      </c>
      <c r="AN146" s="4">
        <v>18.899999999999999</v>
      </c>
      <c r="AO146" s="4">
        <v>19</v>
      </c>
      <c r="AP146" s="4">
        <v>19.03</v>
      </c>
      <c r="AQ146" s="4">
        <v>18.86</v>
      </c>
      <c r="AR146" s="4">
        <v>18.309999999999999</v>
      </c>
      <c r="AS146" s="4">
        <v>17.37</v>
      </c>
      <c r="AT146" s="4">
        <v>18.05</v>
      </c>
      <c r="AU146" s="4">
        <v>18.18</v>
      </c>
      <c r="AV146" s="4">
        <v>18.3</v>
      </c>
      <c r="AW146" s="4">
        <v>17.88</v>
      </c>
      <c r="AX146" s="4">
        <v>18.78</v>
      </c>
      <c r="AY146" s="12">
        <v>19.16</v>
      </c>
      <c r="AZ146" s="12">
        <v>20.010000000000002</v>
      </c>
      <c r="BA146" s="12">
        <v>21</v>
      </c>
      <c r="BB146" s="18">
        <v>20.75</v>
      </c>
      <c r="BC146" s="63">
        <v>21.32</v>
      </c>
      <c r="BD146" s="63">
        <v>21.63</v>
      </c>
      <c r="BE146" s="63">
        <v>21.14</v>
      </c>
      <c r="BF146" s="63">
        <v>21.56</v>
      </c>
      <c r="BG146" s="91" cm="1">
        <f t="array" aca="1" ref="BG146" ca="1">_FV(EE146,"Preço")</f>
        <v>20.73</v>
      </c>
      <c r="BH146" s="93" t="s">
        <v>143</v>
      </c>
      <c r="BI146" s="32" cm="1">
        <f t="array" aca="1" ref="BI146" ca="1">_FV(EE146,"Beta")</f>
        <v>1.1686000000000001</v>
      </c>
      <c r="BJ146" s="96" cm="1">
        <f t="array" aca="1" ref="BJ146" ca="1">_FV(EE146,"Variação (%)",TRUE)</f>
        <v>-5.7549999999999997E-3</v>
      </c>
      <c r="BK146" s="49"/>
      <c r="BL146" s="49"/>
      <c r="BN146" s="32"/>
      <c r="BO146" s="20" cm="1">
        <f t="array" aca="1" ref="BO146" ca="1">_FV(EE146,"Baixo")</f>
        <v>20.59</v>
      </c>
      <c r="BP146" s="20" cm="1">
        <f t="array" aca="1" ref="BP146" ca="1">_FV(EE146,"Alto")</f>
        <v>21.06</v>
      </c>
      <c r="BQ146" s="32"/>
      <c r="BR146" s="74">
        <f ca="1">SQRT(22.5*(BG146/VLOOKUP(BH146,Fundamentus!A:U,3,FALSE))*(BG146/VLOOKUP(BH146,Fundamentus!A:U,4,FALSE)))</f>
        <v>60.559866575897338</v>
      </c>
      <c r="BT146" s="73">
        <f t="shared" ca="1" si="158"/>
        <v>-3.8497217068645562E-2</v>
      </c>
      <c r="BU146" s="36">
        <f t="shared" si="159"/>
        <v>-7.6855895196506471E-2</v>
      </c>
      <c r="BV146" s="8"/>
      <c r="BW146" s="72">
        <f t="shared" si="160"/>
        <v>16.55</v>
      </c>
      <c r="BX146" s="72">
        <f t="shared" si="161"/>
        <v>21.032931034482761</v>
      </c>
      <c r="BY146" s="72">
        <f t="shared" si="162"/>
        <v>24.74</v>
      </c>
      <c r="BZ146" s="17"/>
      <c r="CA146" s="17"/>
      <c r="CB146" s="43">
        <f t="shared" si="163"/>
        <v>21.082509749177984</v>
      </c>
      <c r="CC146" s="18">
        <f t="shared" si="164"/>
        <v>21.472221180880979</v>
      </c>
      <c r="CD146" s="43">
        <f t="shared" si="165"/>
        <v>21.861932612583974</v>
      </c>
      <c r="CE146" s="98">
        <f t="shared" ca="1" si="166"/>
        <v>-1.9045404381327873</v>
      </c>
      <c r="CF146" s="17"/>
      <c r="CG146" s="20">
        <f t="shared" si="167"/>
        <v>8.9700000000000024</v>
      </c>
      <c r="CH146" s="20">
        <f t="shared" si="168"/>
        <v>12.760000000000002</v>
      </c>
      <c r="CI146" s="20">
        <f t="shared" si="169"/>
        <v>17.16</v>
      </c>
      <c r="CJ146" s="49">
        <f t="shared" si="170"/>
        <v>20.95</v>
      </c>
      <c r="CK146" s="20">
        <f t="shared" si="171"/>
        <v>25.349999999999998</v>
      </c>
      <c r="CL146" s="20">
        <f t="shared" si="172"/>
        <v>29.139999999999997</v>
      </c>
      <c r="CM146" s="20">
        <f t="shared" si="173"/>
        <v>33.539999999999992</v>
      </c>
      <c r="CN146" s="2" cm="1">
        <f t="array" aca="1" ref="CN146" ca="1">MAX(_xlfn._xlws.FILTER(CG146:CM146,CG146:CM146&lt;BG146))</f>
        <v>17.16</v>
      </c>
      <c r="CO146" s="2" cm="1">
        <f t="array" aca="1" ref="CO146" ca="1">MIN(_xlfn._xlws.FILTER($CG146:$CM146,$CG146:$CM146&gt;BG146))</f>
        <v>20.95</v>
      </c>
      <c r="CP146" s="19">
        <f t="shared" ref="CP146:CP177" ca="1" si="183">(CO146/CN146)-1</f>
        <v>0.22086247086247091</v>
      </c>
      <c r="CQ146" s="23">
        <f t="shared" ref="CQ146:CQ177" ca="1" si="184">-$CP146/2</f>
        <v>-0.11043123543123545</v>
      </c>
      <c r="CR146" s="23">
        <f t="shared" ref="CR146:CR177" ca="1" si="185">-$CP146/3</f>
        <v>-7.3620823620823631E-2</v>
      </c>
      <c r="CS146" s="23">
        <f t="shared" ref="CS146:CS177" ca="1" si="186">-$CP146/5</f>
        <v>-4.4172494172494178E-2</v>
      </c>
      <c r="CT146" s="23">
        <f t="shared" ref="CT146:CT177" ca="1" si="187">-$CP146/9</f>
        <v>-2.4540274540274545E-2</v>
      </c>
      <c r="CU146" s="23">
        <f t="shared" ref="CU146:CU177" ca="1" si="188">-$CP146/17</f>
        <v>-1.2991910050733583E-2</v>
      </c>
      <c r="CV146" s="23">
        <f t="shared" ref="CV146:CV177" ca="1" si="189">-$CP146/33</f>
        <v>-6.6928021473476032E-3</v>
      </c>
      <c r="CW146" s="23">
        <f t="shared" ref="CW146:CW177" ca="1" si="190">-$CP146/65</f>
        <v>-3.3978841671149368E-3</v>
      </c>
      <c r="CX146" s="24">
        <f t="shared" ref="CX146:CX177" ca="1" si="191">-$CP146/65*-1</f>
        <v>3.3978841671149368E-3</v>
      </c>
      <c r="CY146" s="24">
        <f t="shared" ref="CY146:CY177" ca="1" si="192">-$CP146/33*-1</f>
        <v>6.6928021473476032E-3</v>
      </c>
      <c r="CZ146" s="24">
        <f t="shared" ref="CZ146:CZ177" ca="1" si="193">-$CP146/17*-1</f>
        <v>1.2991910050733583E-2</v>
      </c>
      <c r="DA146" s="24">
        <f t="shared" ref="DA146:DA177" ca="1" si="194">-$CP146/9*-1</f>
        <v>2.4540274540274545E-2</v>
      </c>
      <c r="DB146" s="24">
        <f t="shared" ref="DB146:DB177" ca="1" si="195">-$CP146/5*-1</f>
        <v>4.4172494172494178E-2</v>
      </c>
      <c r="DC146" s="24">
        <f t="shared" ref="DC146:DC177" ca="1" si="196">-$CP146/3*-1</f>
        <v>7.3620823620823631E-2</v>
      </c>
      <c r="DD146" s="24">
        <f t="shared" ref="DD146:DD177" ca="1" si="197">-$CP146/2*-1</f>
        <v>0.11043123543123545</v>
      </c>
      <c r="DF146" s="19" cm="1">
        <f t="array" aca="1" ref="DF146" ca="1">MAX(_xlfn._xlws.FILTER(CQ146:DD146,CQ146:DD146&lt;BJ146))</f>
        <v>-6.6928021473476032E-3</v>
      </c>
      <c r="DG146" s="19" cm="1">
        <f t="array" aca="1" ref="DG146" ca="1">MIN(_xlfn._xlws.FILTER(CQ146:DD146,CQ146:DD146&gt;BJ146))</f>
        <v>-3.3978841671149368E-3</v>
      </c>
      <c r="DH146" s="2" cm="1">
        <f t="array" aca="1" ref="DH146" ca="1">_FV(EE146,"Fechamento anterior",TRUE)</f>
        <v>20.85</v>
      </c>
      <c r="DI146" s="36">
        <f t="shared" ca="1" si="174"/>
        <v>0.28450069759495777</v>
      </c>
      <c r="DJ146" s="18">
        <f t="shared" ref="DJ146:DJ177" ca="1" si="198">DH146+(DH146*DF146)</f>
        <v>20.710455075227802</v>
      </c>
      <c r="DK146" s="18">
        <f t="shared" ref="DK146:DK177" ca="1" si="199">DH146+(DH146*DG146)</f>
        <v>20.779154115115656</v>
      </c>
      <c r="DL146" s="9"/>
      <c r="DM146" s="9"/>
      <c r="DN146" s="9"/>
      <c r="DO146" s="9"/>
      <c r="DP146" s="79">
        <v>2.4692269817823721E-2</v>
      </c>
      <c r="DQ146" s="79">
        <v>9.6832430658132258E-3</v>
      </c>
      <c r="DR146" s="79">
        <v>6.9696933382865714E-3</v>
      </c>
      <c r="DS146" s="79">
        <f t="shared" ca="1" si="175"/>
        <v>3.2949179802326664E-3</v>
      </c>
      <c r="DT146" s="47"/>
      <c r="DU146" s="43">
        <f t="shared" si="176"/>
        <v>0.19485571585149794</v>
      </c>
      <c r="DV146" s="83">
        <f t="shared" ca="1" si="177"/>
        <v>1.5947</v>
      </c>
      <c r="DW146" s="83">
        <f t="shared" ca="1" si="178"/>
        <v>1.7441</v>
      </c>
      <c r="DX146" s="83">
        <f t="shared" ca="1" si="179"/>
        <v>-0.14939999999999998</v>
      </c>
      <c r="DY146" s="67"/>
      <c r="DZ146" s="67"/>
      <c r="EA146" s="85"/>
      <c r="EB146" s="44">
        <v>233000</v>
      </c>
      <c r="EC146" s="44" cm="1">
        <f t="array" aca="1" ref="EC146" ca="1">_FV(EE146,"Volume")</f>
        <v>97500</v>
      </c>
      <c r="EE146" s="2" t="e" vm="147">
        <v>#VALUE!</v>
      </c>
      <c r="EG146" s="10" cm="1">
        <f t="array" aca="1" ref="EG146" ca="1">_FV(EE146,"Ações em circulação",TRUE)</f>
        <v>87859150</v>
      </c>
      <c r="EH146" s="21">
        <f>VLOOKUP(BH146,Fundamentus!A:U,5,FALSE)</f>
        <v>8.5820000000000007</v>
      </c>
      <c r="EI146" s="2">
        <f t="shared" ca="1" si="180"/>
        <v>212225609.35679328</v>
      </c>
      <c r="EJ146" s="20">
        <v>374588704.30032623</v>
      </c>
      <c r="EK146" s="20">
        <f t="shared" ca="1" si="181"/>
        <v>360168081.63941389</v>
      </c>
      <c r="EM146" s="40" t="str">
        <f>IF(VLOOKUP(BH146,Fundamentus!A:U,3,FALSE)&lt;15,"Bom",IF(VLOOKUP(BH146,Fundamentus!A:U,3,FALSE)&gt;15,"Ruim","n/a"))</f>
        <v>Bom</v>
      </c>
      <c r="EN146" s="36" t="str">
        <f>IF(VLOOKUP(BH146,Fundamentus!A:U,4,FALSE)&lt;1,"Baixo",IF(VLOOKUP(BH146,Fundamentus!A:U,4,FALSE)&lt;1.5,"Moderado",IF(VLOOKUP(BH146,Fundamentus!A:U,4,FALSE)&gt;1.5,"Alto","n/a")))</f>
        <v>Baixo</v>
      </c>
      <c r="EO146" s="20" t="str">
        <f>IF(VLOOKUP(BH146,Fundamentus!A:U,8,FALSE)&lt;0,"Risco elevado",IF(VLOOKUP(BH146,Fundamentus!A:U,8,FALSE)&lt;1,"Saudável",IF(VLOOKUP(BH146,Fundamentus!A:U,8,FALSE)&lt;3,"Estável",IF(VLOOKUP(BH146,Fundamentus!A:U,8,FALSE)&gt;3,"Alerta","n/a"))))</f>
        <v>Alerta</v>
      </c>
      <c r="EP146" s="36" t="str">
        <f t="shared" si="182"/>
        <v>Bom</v>
      </c>
      <c r="EQ146" s="20" t="str">
        <f>IF(VLOOKUP(BH146,Fundamentus!A:U,12,FALSE)&lt;2,"Subvalorizada",IF(VLOOKUP(BH146,Fundamentus!A:U,12,FALSE)&lt;6,"Muita barata",IF(VLOOKUP(BH146,Fundamentus!A:U,12,FALSE)&lt;6,"Barata",IF(VLOOKUP(BH146,Fundamentus!A:U,12,FALSE)&lt;8,"Atrativa",IF(VLOOKUP(BH146,Fundamentus!A:U,12,FALSE)&gt;8,"Supervalorizada","n/a")))))</f>
        <v>Supervalorizada</v>
      </c>
      <c r="ES146" s="20" t="str">
        <f>IF(VLOOKUP(BH146,Fundamentus!A:U,17,FALSE)&lt;0.1,"Fraco retorno",IF(VLOOKUP(BH146,Fundamentus!A:U,17,FALSE)&gt;0.1,"Bom retorno","n/a"))</f>
        <v>Bom retorno</v>
      </c>
      <c r="ET146" s="20" t="str">
        <f>IF(VLOOKUP(BH146,Fundamentus!A:U,16,FALSE)&lt;0.1,"Ineficiente",IF(VLOOKUP(BH146,Fundamentus!A:U,16,FALSE)&gt;0.1,"Eficiente","n/a"))</f>
        <v>Ineficiente</v>
      </c>
      <c r="EU146" s="41" t="str">
        <f>IF(VLOOKUP(BH146,Fundamentus!A:U,16,FALSE)&lt;0.1,"Oper. Ineficiente",IF(VLOOKUP(BH146,Fundamentus!A:U,16,FALSE)&gt;0.1,"Oper.Eficiente","n/a"))</f>
        <v>Oper. Ineficiente</v>
      </c>
      <c r="EV146" s="42">
        <f>VLOOKUP(BH146,Fundamentus!A:U,14,FALSE)</f>
        <v>1.6971000000000001</v>
      </c>
      <c r="EW146" s="20" t="str">
        <f>IF(VLOOKUP(BH146,Fundamentus!A:U,21,FALSE)&lt;0,"Negativo",IF(VLOOKUP(BH146,Fundamentus!A:U,21,FALSE)&lt;0.05,"Fraco",IF(VLOOKUP(BH146,Fundamentus!A:U,21,FALSE)&lt;0.1,"Bom",IF(VLOOKUP(BH146,Fundamentus!A:U,21,FALSE)&gt;0.1,"Muito bom","n/a"))))</f>
        <v>Muito bom</v>
      </c>
      <c r="EY146" s="37" t="str">
        <f>IF(VLOOKUP(BH146,Fundamentus!A:U,15,FALSE)&gt;1,"Bom",IF(VLOOKUP(BH146,Fundamentus!A:U,15,FALSE)&lt;1,"Ruim","n/a"))</f>
        <v>Bom</v>
      </c>
      <c r="EZ146" s="20" t="str">
        <f>IF(VLOOKUP(BH146,Fundamentus!A:U,20,FALSE)&lt;0.5,"Baixa",IF(VLOOKUP(BH146,Fundamentus!A:U,20,FALSE)&lt;1,"Moderada",IF(VLOOKUP(BH146,Fundamentus!A:U,20,FALSE)&lt;2,"Alerta",IF(VLOOKUP(BH146,Fundamentus!A:U,20,FALSE)&gt;2,"Alta","n/a"))))</f>
        <v>Moderada</v>
      </c>
      <c r="FA146" s="10"/>
    </row>
    <row r="147" spans="1:157" s="2" customFormat="1" ht="11.25" hidden="1" x14ac:dyDescent="0.2">
      <c r="A147" s="4">
        <v>1.7</v>
      </c>
      <c r="B147" s="4">
        <v>1.66</v>
      </c>
      <c r="C147" s="4">
        <v>1.62</v>
      </c>
      <c r="D147" s="4">
        <v>1.65</v>
      </c>
      <c r="E147" s="4">
        <v>1.64</v>
      </c>
      <c r="F147" s="4">
        <v>1.67</v>
      </c>
      <c r="G147" s="4">
        <v>1.74</v>
      </c>
      <c r="H147" s="4">
        <v>1.39</v>
      </c>
      <c r="I147" s="4">
        <v>1.41</v>
      </c>
      <c r="J147" s="4">
        <v>1.77</v>
      </c>
      <c r="K147" s="4">
        <v>1.85</v>
      </c>
      <c r="L147" s="4">
        <v>1.62</v>
      </c>
      <c r="M147" s="4">
        <v>1.57</v>
      </c>
      <c r="N147" s="4">
        <v>1.53</v>
      </c>
      <c r="O147" s="4">
        <v>1.64</v>
      </c>
      <c r="P147" s="4">
        <v>1.59</v>
      </c>
      <c r="Q147" s="4">
        <v>1.98</v>
      </c>
      <c r="R147" s="4">
        <v>2.27</v>
      </c>
      <c r="S147" s="4">
        <v>2.14</v>
      </c>
      <c r="T147" s="4">
        <v>2.15</v>
      </c>
      <c r="U147" s="4">
        <v>1.87</v>
      </c>
      <c r="V147" s="4">
        <v>2.31</v>
      </c>
      <c r="W147" s="4">
        <v>2.0499999999999998</v>
      </c>
      <c r="X147" s="4">
        <v>2.21</v>
      </c>
      <c r="Y147" s="4">
        <v>2.14</v>
      </c>
      <c r="Z147" s="4">
        <v>2.13</v>
      </c>
      <c r="AA147" s="4">
        <v>2.31</v>
      </c>
      <c r="AB147" s="4">
        <v>2.2799999999999998</v>
      </c>
      <c r="AC147" s="4">
        <v>2.27</v>
      </c>
      <c r="AD147" s="4">
        <v>2.2999999999999998</v>
      </c>
      <c r="AE147" s="4">
        <v>2.15</v>
      </c>
      <c r="AF147" s="4">
        <v>2.2999999999999998</v>
      </c>
      <c r="AG147" s="4">
        <v>2.11</v>
      </c>
      <c r="AH147" s="4">
        <v>1.57</v>
      </c>
      <c r="AI147" s="4">
        <v>1.54</v>
      </c>
      <c r="AJ147" s="4">
        <v>1.5</v>
      </c>
      <c r="AK147" s="4">
        <v>1.5</v>
      </c>
      <c r="AL147" s="4">
        <v>1.6</v>
      </c>
      <c r="AM147" s="4">
        <v>1.68</v>
      </c>
      <c r="AN147" s="4">
        <v>1.94</v>
      </c>
      <c r="AO147" s="4">
        <v>1.76</v>
      </c>
      <c r="AP147" s="4">
        <v>1.97</v>
      </c>
      <c r="AQ147" s="4">
        <v>2.0299999999999998</v>
      </c>
      <c r="AR147" s="4">
        <v>1.78</v>
      </c>
      <c r="AS147" s="4">
        <v>1.87</v>
      </c>
      <c r="AT147" s="4">
        <v>1.74</v>
      </c>
      <c r="AU147" s="4">
        <v>1.8149999999999999</v>
      </c>
      <c r="AV147" s="4">
        <v>1.91</v>
      </c>
      <c r="AW147" s="4">
        <v>1.81</v>
      </c>
      <c r="AX147" s="4">
        <v>2.0099999999999998</v>
      </c>
      <c r="AY147" s="12">
        <v>2.1</v>
      </c>
      <c r="AZ147" s="12">
        <v>2.23</v>
      </c>
      <c r="BA147" s="12">
        <v>2.06</v>
      </c>
      <c r="BB147" s="18">
        <v>2.0699999999999998</v>
      </c>
      <c r="BC147" s="63">
        <v>2.2400000000000002</v>
      </c>
      <c r="BD147" s="63">
        <v>2.19</v>
      </c>
      <c r="BE147" s="63">
        <v>2.13</v>
      </c>
      <c r="BF147" s="63">
        <v>2.1</v>
      </c>
      <c r="BG147" s="91" cm="1">
        <f t="array" aca="1" ref="BG147" ca="1">_FV(EE147,"Preço")</f>
        <v>1.91</v>
      </c>
      <c r="BH147" s="93" t="s">
        <v>144</v>
      </c>
      <c r="BI147" s="32" cm="1">
        <f t="array" aca="1" ref="BI147" ca="1">_FV(EE147,"Beta")</f>
        <v>1.3686</v>
      </c>
      <c r="BJ147" s="96" cm="1">
        <f t="array" aca="1" ref="BJ147" ca="1">_FV(EE147,"Variação (%)",TRUE)</f>
        <v>-4.4999999999999998E-2</v>
      </c>
      <c r="BK147" s="49"/>
      <c r="BL147" s="49"/>
      <c r="BN147" s="32"/>
      <c r="BO147" s="20" cm="1">
        <f t="array" aca="1" ref="BO147" ca="1">_FV(EE147,"Baixo")</f>
        <v>1.9</v>
      </c>
      <c r="BP147" s="20" cm="1">
        <f t="array" aca="1" ref="BP147" ca="1">_FV(EE147,"Alto")</f>
        <v>2.02</v>
      </c>
      <c r="BQ147" s="32"/>
      <c r="BR147" s="74">
        <f ca="1">SQRT(22.5*(BG147/VLOOKUP(BH147,Fundamentus!A:U,3,FALSE))*(BG147/VLOOKUP(BH147,Fundamentus!A:U,4,FALSE)))</f>
        <v>1.0403781257797917</v>
      </c>
      <c r="BT147" s="73">
        <f t="shared" ca="1" si="158"/>
        <v>-9.0476190476190557E-2</v>
      </c>
      <c r="BU147" s="36">
        <f t="shared" si="159"/>
        <v>0.25294117647058822</v>
      </c>
      <c r="BV147" s="8"/>
      <c r="BW147" s="72">
        <f t="shared" si="160"/>
        <v>1.39</v>
      </c>
      <c r="BX147" s="72">
        <f t="shared" si="161"/>
        <v>1.8993965517241378</v>
      </c>
      <c r="BY147" s="72">
        <f t="shared" si="162"/>
        <v>2.31</v>
      </c>
      <c r="BZ147" s="17"/>
      <c r="CA147" s="17"/>
      <c r="CB147" s="43">
        <f t="shared" si="163"/>
        <v>1.9400527682028428</v>
      </c>
      <c r="CC147" s="18">
        <f t="shared" si="164"/>
        <v>2.0482193064667626</v>
      </c>
      <c r="CD147" s="43">
        <f t="shared" si="165"/>
        <v>2.1563858447306825</v>
      </c>
      <c r="CE147" s="98">
        <f t="shared" ca="1" si="166"/>
        <v>-1.2778379403204705</v>
      </c>
      <c r="CF147" s="17"/>
      <c r="CG147" s="20">
        <f t="shared" si="167"/>
        <v>0.63666666666666694</v>
      </c>
      <c r="CH147" s="20">
        <f t="shared" si="168"/>
        <v>1.0133333333333334</v>
      </c>
      <c r="CI147" s="20">
        <f t="shared" si="169"/>
        <v>1.5566666666666671</v>
      </c>
      <c r="CJ147" s="49">
        <f t="shared" si="170"/>
        <v>1.9333333333333336</v>
      </c>
      <c r="CK147" s="20">
        <f t="shared" si="171"/>
        <v>2.4766666666666675</v>
      </c>
      <c r="CL147" s="20">
        <f t="shared" si="172"/>
        <v>2.8533333333333335</v>
      </c>
      <c r="CM147" s="20">
        <f t="shared" si="173"/>
        <v>3.3966666666666674</v>
      </c>
      <c r="CN147" s="2" cm="1">
        <f t="array" aca="1" ref="CN147" ca="1">MAX(_xlfn._xlws.FILTER(CG147:CM147,CG147:CM147&lt;BG147))</f>
        <v>1.5566666666666671</v>
      </c>
      <c r="CO147" s="2" cm="1">
        <f t="array" aca="1" ref="CO147" ca="1">MIN(_xlfn._xlws.FILTER($CG147:$CM147,$CG147:$CM147&gt;BG147))</f>
        <v>1.9333333333333336</v>
      </c>
      <c r="CP147" s="19">
        <f t="shared" ca="1" si="183"/>
        <v>0.24197002141327606</v>
      </c>
      <c r="CQ147" s="23">
        <f t="shared" ca="1" si="184"/>
        <v>-0.12098501070663803</v>
      </c>
      <c r="CR147" s="23">
        <f t="shared" ca="1" si="185"/>
        <v>-8.0656673804425358E-2</v>
      </c>
      <c r="CS147" s="23">
        <f t="shared" ca="1" si="186"/>
        <v>-4.8394004282655209E-2</v>
      </c>
      <c r="CT147" s="23">
        <f t="shared" ca="1" si="187"/>
        <v>-2.688555793480845E-2</v>
      </c>
      <c r="CU147" s="23">
        <f t="shared" ca="1" si="188"/>
        <v>-1.423353067136918E-2</v>
      </c>
      <c r="CV147" s="23">
        <f t="shared" ca="1" si="189"/>
        <v>-7.3324248913113959E-3</v>
      </c>
      <c r="CW147" s="23">
        <f t="shared" ca="1" si="190"/>
        <v>-3.7226157140504007E-3</v>
      </c>
      <c r="CX147" s="24">
        <f t="shared" ca="1" si="191"/>
        <v>3.7226157140504007E-3</v>
      </c>
      <c r="CY147" s="24">
        <f t="shared" ca="1" si="192"/>
        <v>7.3324248913113959E-3</v>
      </c>
      <c r="CZ147" s="24">
        <f t="shared" ca="1" si="193"/>
        <v>1.423353067136918E-2</v>
      </c>
      <c r="DA147" s="24">
        <f t="shared" ca="1" si="194"/>
        <v>2.688555793480845E-2</v>
      </c>
      <c r="DB147" s="24">
        <f t="shared" ca="1" si="195"/>
        <v>4.8394004282655209E-2</v>
      </c>
      <c r="DC147" s="24">
        <f t="shared" ca="1" si="196"/>
        <v>8.0656673804425358E-2</v>
      </c>
      <c r="DD147" s="24">
        <f t="shared" ca="1" si="197"/>
        <v>0.12098501070663803</v>
      </c>
      <c r="DF147" s="19" cm="1">
        <f t="array" aca="1" ref="DF147" ca="1">MAX(_xlfn._xlws.FILTER(CQ147:DD147,CQ147:DD147&lt;BJ147))</f>
        <v>-4.8394004282655209E-2</v>
      </c>
      <c r="DG147" s="19" cm="1">
        <f t="array" aca="1" ref="DG147" ca="1">MIN(_xlfn._xlws.FILTER(CQ147:DD147,CQ147:DD147&gt;BJ147))</f>
        <v>-2.688555793480845E-2</v>
      </c>
      <c r="DH147" s="2" cm="1">
        <f t="array" aca="1" ref="DH147" ca="1">_FV(EE147,"Fechamento anterior",TRUE)</f>
        <v>2</v>
      </c>
      <c r="DI147" s="36">
        <f t="shared" ca="1" si="174"/>
        <v>0.15779867256636623</v>
      </c>
      <c r="DJ147" s="18">
        <f t="shared" ca="1" si="198"/>
        <v>1.9032119914346897</v>
      </c>
      <c r="DK147" s="18">
        <f t="shared" ca="1" si="199"/>
        <v>1.9462288841303832</v>
      </c>
      <c r="DL147" s="9"/>
      <c r="DM147" s="9"/>
      <c r="DN147" s="9"/>
      <c r="DO147" s="9"/>
      <c r="DP147" s="79">
        <v>3.0769230769230771E-2</v>
      </c>
      <c r="DQ147" s="79">
        <v>1.1909949164851117E-2</v>
      </c>
      <c r="DR147" s="79">
        <v>1.1909949164851117E-2</v>
      </c>
      <c r="DS147" s="79">
        <f t="shared" ca="1" si="175"/>
        <v>2.1508446347846759E-2</v>
      </c>
      <c r="DT147" s="47"/>
      <c r="DU147" s="43">
        <f t="shared" si="176"/>
        <v>5.4083269131959898E-2</v>
      </c>
      <c r="DV147" s="83">
        <f t="shared" ca="1" si="177"/>
        <v>1.7947</v>
      </c>
      <c r="DW147" s="83">
        <f t="shared" ca="1" si="178"/>
        <v>5.8685999999999998</v>
      </c>
      <c r="DX147" s="83">
        <f t="shared" ca="1" si="179"/>
        <v>-4.0739000000000001</v>
      </c>
      <c r="DY147" s="67"/>
      <c r="DZ147" s="67"/>
      <c r="EA147" s="85"/>
      <c r="EB147" s="44">
        <v>2232400</v>
      </c>
      <c r="EC147" s="44" cm="1">
        <f t="array" aca="1" ref="EC147" ca="1">_FV(EE147,"Volume")</f>
        <v>2782000</v>
      </c>
      <c r="EE147" s="2" t="e" vm="148">
        <v>#VALUE!</v>
      </c>
      <c r="EG147" s="10" cm="1">
        <f t="array" aca="1" ref="EG147" ca="1">_FV(EE147,"Ações em circulação",TRUE)</f>
        <v>284014300</v>
      </c>
      <c r="EH147" s="21">
        <f>VLOOKUP(BH147,Fundamentus!A:U,5,FALSE)</f>
        <v>0.39300000000000002</v>
      </c>
      <c r="EI147" s="2">
        <f t="shared" ca="1" si="180"/>
        <v>1380323951.653944</v>
      </c>
      <c r="EJ147" s="20">
        <v>12141069.312977098</v>
      </c>
      <c r="EK147" s="20">
        <f t="shared" ca="1" si="181"/>
        <v>11042591.613231553</v>
      </c>
      <c r="EM147" s="40" t="str">
        <f>IF(VLOOKUP(BH147,Fundamentus!A:U,3,FALSE)&lt;15,"Bom",IF(VLOOKUP(BH147,Fundamentus!A:U,3,FALSE)&gt;15,"Ruim","n/a"))</f>
        <v>Ruim</v>
      </c>
      <c r="EN147" s="36" t="str">
        <f>IF(VLOOKUP(BH147,Fundamentus!A:U,4,FALSE)&lt;1,"Baixo",IF(VLOOKUP(BH147,Fundamentus!A:U,4,FALSE)&lt;1.5,"Moderado",IF(VLOOKUP(BH147,Fundamentus!A:U,4,FALSE)&gt;1.5,"Alto","n/a")))</f>
        <v>Baixo</v>
      </c>
      <c r="EO147" s="20" t="str">
        <f>IF(VLOOKUP(BH147,Fundamentus!A:U,8,FALSE)&lt;0,"Risco elevado",IF(VLOOKUP(BH147,Fundamentus!A:U,8,FALSE)&lt;1,"Saudável",IF(VLOOKUP(BH147,Fundamentus!A:U,8,FALSE)&lt;3,"Estável",IF(VLOOKUP(BH147,Fundamentus!A:U,8,FALSE)&gt;3,"Alerta","n/a"))))</f>
        <v>Alerta</v>
      </c>
      <c r="EP147" s="36" t="str">
        <f t="shared" si="182"/>
        <v>Ruim</v>
      </c>
      <c r="EQ147" s="20" t="str">
        <f>IF(VLOOKUP(BH147,Fundamentus!A:U,12,FALSE)&lt;2,"Subvalorizada",IF(VLOOKUP(BH147,Fundamentus!A:U,12,FALSE)&lt;6,"Muita barata",IF(VLOOKUP(BH147,Fundamentus!A:U,12,FALSE)&lt;6,"Barata",IF(VLOOKUP(BH147,Fundamentus!A:U,12,FALSE)&lt;8,"Atrativa",IF(VLOOKUP(BH147,Fundamentus!A:U,12,FALSE)&gt;8,"Supervalorizada","n/a")))))</f>
        <v>Subvalorizada</v>
      </c>
      <c r="ES147" s="20" t="str">
        <f>IF(VLOOKUP(BH147,Fundamentus!A:U,17,FALSE)&lt;0.1,"Fraco retorno",IF(VLOOKUP(BH147,Fundamentus!A:U,17,FALSE)&gt;0.1,"Bom retorno","n/a"))</f>
        <v>Fraco retorno</v>
      </c>
      <c r="ET147" s="20" t="str">
        <f>IF(VLOOKUP(BH147,Fundamentus!A:U,16,FALSE)&lt;0.1,"Ineficiente",IF(VLOOKUP(BH147,Fundamentus!A:U,16,FALSE)&gt;0.1,"Eficiente","n/a"))</f>
        <v>Eficiente</v>
      </c>
      <c r="EU147" s="41" t="str">
        <f>IF(VLOOKUP(BH147,Fundamentus!A:U,16,FALSE)&lt;0.1,"Oper. Ineficiente",IF(VLOOKUP(BH147,Fundamentus!A:U,16,FALSE)&gt;0.1,"Oper.Eficiente","n/a"))</f>
        <v>Oper.Eficiente</v>
      </c>
      <c r="EV147" s="42">
        <f>VLOOKUP(BH147,Fundamentus!A:U,14,FALSE)</f>
        <v>8.0000000000000002E-3</v>
      </c>
      <c r="EW147" s="20" t="str">
        <f>IF(VLOOKUP(BH147,Fundamentus!A:U,21,FALSE)&lt;0,"Negativo",IF(VLOOKUP(BH147,Fundamentus!A:U,21,FALSE)&lt;0.05,"Fraco",IF(VLOOKUP(BH147,Fundamentus!A:U,21,FALSE)&lt;0.1,"Bom",IF(VLOOKUP(BH147,Fundamentus!A:U,21,FALSE)&gt;0.1,"Muito bom","n/a"))))</f>
        <v>Negativo</v>
      </c>
      <c r="EY147" s="37" t="str">
        <f>IF(VLOOKUP(BH147,Fundamentus!A:U,15,FALSE)&gt;1,"Bom",IF(VLOOKUP(BH147,Fundamentus!A:U,15,FALSE)&lt;1,"Ruim","n/a"))</f>
        <v>Bom</v>
      </c>
      <c r="EZ147" s="20" t="str">
        <f>IF(VLOOKUP(BH147,Fundamentus!A:U,20,FALSE)&lt;0.5,"Baixa",IF(VLOOKUP(BH147,Fundamentus!A:U,20,FALSE)&lt;1,"Moderada",IF(VLOOKUP(BH147,Fundamentus!A:U,20,FALSE)&lt;2,"Alerta",IF(VLOOKUP(BH147,Fundamentus!A:U,20,FALSE)&gt;2,"Alta","n/a"))))</f>
        <v>Alerta</v>
      </c>
      <c r="FA147" s="10"/>
    </row>
    <row r="148" spans="1:157" s="2" customFormat="1" ht="11.25" hidden="1" x14ac:dyDescent="0.2">
      <c r="A148" s="4">
        <v>11.51</v>
      </c>
      <c r="B148" s="4">
        <v>10.66</v>
      </c>
      <c r="C148" s="4">
        <v>10.94</v>
      </c>
      <c r="D148" s="4">
        <v>10.46</v>
      </c>
      <c r="E148" s="4">
        <v>10.68</v>
      </c>
      <c r="F148" s="4">
        <v>10.119999999999999</v>
      </c>
      <c r="G148" s="4">
        <v>9.74</v>
      </c>
      <c r="H148" s="4">
        <v>9.68</v>
      </c>
      <c r="I148" s="4">
        <v>9.67</v>
      </c>
      <c r="J148" s="4">
        <v>10.14</v>
      </c>
      <c r="K148" s="4">
        <v>10.24</v>
      </c>
      <c r="L148" s="4">
        <v>9.9</v>
      </c>
      <c r="M148" s="4">
        <v>10.23</v>
      </c>
      <c r="N148" s="4">
        <v>10.210000000000001</v>
      </c>
      <c r="O148" s="4">
        <v>10.78</v>
      </c>
      <c r="P148" s="4">
        <v>11.01</v>
      </c>
      <c r="Q148" s="4">
        <v>10.58</v>
      </c>
      <c r="R148" s="4">
        <v>10.07</v>
      </c>
      <c r="S148" s="4">
        <v>10.06</v>
      </c>
      <c r="T148" s="4">
        <v>10.31</v>
      </c>
      <c r="U148" s="4">
        <v>10.09</v>
      </c>
      <c r="V148" s="4">
        <v>10.16</v>
      </c>
      <c r="W148" s="4">
        <v>10.35</v>
      </c>
      <c r="X148" s="4">
        <v>10.15</v>
      </c>
      <c r="Y148" s="4">
        <v>9.8699999999999992</v>
      </c>
      <c r="Z148" s="4">
        <v>10.050000000000001</v>
      </c>
      <c r="AA148" s="4">
        <v>9.89</v>
      </c>
      <c r="AB148" s="4">
        <v>9.92</v>
      </c>
      <c r="AC148" s="4">
        <v>9.75</v>
      </c>
      <c r="AD148" s="4">
        <v>9.58</v>
      </c>
      <c r="AE148" s="4">
        <v>9.4600000000000009</v>
      </c>
      <c r="AF148" s="4">
        <v>9.4499999999999993</v>
      </c>
      <c r="AG148" s="4">
        <v>9.2100000000000009</v>
      </c>
      <c r="AH148" s="4">
        <v>8.7799999999999994</v>
      </c>
      <c r="AI148" s="4">
        <v>8.6999999999999993</v>
      </c>
      <c r="AJ148" s="4">
        <v>8.4700000000000006</v>
      </c>
      <c r="AK148" s="4">
        <v>8.64</v>
      </c>
      <c r="AL148" s="4">
        <v>8.23</v>
      </c>
      <c r="AM148" s="4">
        <v>8.23</v>
      </c>
      <c r="AN148" s="4">
        <v>8.3000000000000007</v>
      </c>
      <c r="AO148" s="4">
        <v>8.08</v>
      </c>
      <c r="AP148" s="4">
        <v>8.1999999999999993</v>
      </c>
      <c r="AQ148" s="4">
        <v>8.18</v>
      </c>
      <c r="AR148" s="4">
        <v>8.1999999999999993</v>
      </c>
      <c r="AS148" s="4">
        <v>8.1999999999999993</v>
      </c>
      <c r="AT148" s="4">
        <v>8.52</v>
      </c>
      <c r="AU148" s="4">
        <v>8.74</v>
      </c>
      <c r="AV148" s="4">
        <v>8.8699999999999992</v>
      </c>
      <c r="AW148" s="4">
        <v>8.8800000000000008</v>
      </c>
      <c r="AX148" s="4">
        <v>8.7200000000000006</v>
      </c>
      <c r="AY148" s="12">
        <v>8.9</v>
      </c>
      <c r="AZ148" s="12">
        <v>9.0399999999999991</v>
      </c>
      <c r="BA148" s="12">
        <v>9.18</v>
      </c>
      <c r="BB148" s="18">
        <v>9.1999999999999993</v>
      </c>
      <c r="BC148" s="63">
        <v>9</v>
      </c>
      <c r="BD148" s="63">
        <v>8.74</v>
      </c>
      <c r="BE148" s="63">
        <v>8.6999999999999993</v>
      </c>
      <c r="BF148" s="63">
        <v>8.4</v>
      </c>
      <c r="BG148" s="91" cm="1">
        <f t="array" aca="1" ref="BG148" ca="1">_FV(EE148,"Preço")</f>
        <v>8.18</v>
      </c>
      <c r="BH148" s="93" t="s">
        <v>145</v>
      </c>
      <c r="BI148" s="32" cm="1">
        <f t="array" aca="1" ref="BI148" ca="1">_FV(EE148,"Beta")</f>
        <v>1.1120000000000001</v>
      </c>
      <c r="BJ148" s="96" cm="1">
        <f t="array" aca="1" ref="BJ148" ca="1">_FV(EE148,"Variação (%)",TRUE)</f>
        <v>-1.5644000000000002E-2</v>
      </c>
      <c r="BK148" s="49"/>
      <c r="BL148" s="49"/>
      <c r="BN148" s="32"/>
      <c r="BO148" s="20" cm="1">
        <f t="array" aca="1" ref="BO148" ca="1">_FV(EE148,"Baixo")</f>
        <v>8.14</v>
      </c>
      <c r="BP148" s="20" cm="1">
        <f t="array" aca="1" ref="BP148" ca="1">_FV(EE148,"Alto")</f>
        <v>8.3699999999999992</v>
      </c>
      <c r="BQ148" s="32"/>
      <c r="BR148" s="74">
        <f ca="1">SQRT(22.5*(BG148/VLOOKUP(BH148,Fundamentus!A:U,3,FALSE))*(BG148/VLOOKUP(BH148,Fundamentus!A:U,4,FALSE)))</f>
        <v>10.639119357357933</v>
      </c>
      <c r="BT148" s="73">
        <f t="shared" ca="1" si="158"/>
        <v>-2.6190476190476264E-2</v>
      </c>
      <c r="BU148" s="36">
        <f t="shared" si="159"/>
        <v>-0.2441355343179844</v>
      </c>
      <c r="BV148" s="8"/>
      <c r="BW148" s="72">
        <f t="shared" si="160"/>
        <v>8.08</v>
      </c>
      <c r="BX148" s="72">
        <f t="shared" si="161"/>
        <v>9.4831034482758625</v>
      </c>
      <c r="BY148" s="72">
        <f t="shared" si="162"/>
        <v>11.51</v>
      </c>
      <c r="BZ148" s="17"/>
      <c r="CA148" s="17"/>
      <c r="CB148" s="43">
        <f t="shared" si="163"/>
        <v>7.8364983874491365</v>
      </c>
      <c r="CC148" s="18">
        <f t="shared" si="164"/>
        <v>8.2621743205249913</v>
      </c>
      <c r="CD148" s="43">
        <f t="shared" si="165"/>
        <v>8.6878502536008462</v>
      </c>
      <c r="CE148" s="98">
        <f t="shared" ca="1" si="166"/>
        <v>-0.19304431878780492</v>
      </c>
      <c r="CF148" s="17"/>
      <c r="CG148" s="20">
        <f t="shared" si="167"/>
        <v>3.7200000000000006</v>
      </c>
      <c r="CH148" s="20">
        <f t="shared" si="168"/>
        <v>5.9</v>
      </c>
      <c r="CI148" s="20">
        <f t="shared" si="169"/>
        <v>7.15</v>
      </c>
      <c r="CJ148" s="49">
        <f t="shared" si="170"/>
        <v>9.33</v>
      </c>
      <c r="CK148" s="20">
        <f t="shared" si="171"/>
        <v>10.58</v>
      </c>
      <c r="CL148" s="20">
        <f t="shared" si="172"/>
        <v>12.76</v>
      </c>
      <c r="CM148" s="20">
        <f t="shared" si="173"/>
        <v>14.01</v>
      </c>
      <c r="CN148" s="2" cm="1">
        <f t="array" aca="1" ref="CN148" ca="1">MAX(_xlfn._xlws.FILTER(CG148:CM148,CG148:CM148&lt;BG148))</f>
        <v>7.15</v>
      </c>
      <c r="CO148" s="2" cm="1">
        <f t="array" aca="1" ref="CO148" ca="1">MIN(_xlfn._xlws.FILTER($CG148:$CM148,$CG148:$CM148&gt;BG148))</f>
        <v>9.33</v>
      </c>
      <c r="CP148" s="19">
        <f t="shared" ca="1" si="183"/>
        <v>0.30489510489510474</v>
      </c>
      <c r="CQ148" s="23">
        <f t="shared" ca="1" si="184"/>
        <v>-0.15244755244755237</v>
      </c>
      <c r="CR148" s="23">
        <f t="shared" ca="1" si="185"/>
        <v>-0.10163170163170158</v>
      </c>
      <c r="CS148" s="23">
        <f t="shared" ca="1" si="186"/>
        <v>-6.0979020979020949E-2</v>
      </c>
      <c r="CT148" s="23">
        <f t="shared" ca="1" si="187"/>
        <v>-3.3877233877233862E-2</v>
      </c>
      <c r="CU148" s="23">
        <f t="shared" ca="1" si="188"/>
        <v>-1.7935006170300277E-2</v>
      </c>
      <c r="CV148" s="23">
        <f t="shared" ca="1" si="189"/>
        <v>-9.2392456028819615E-3</v>
      </c>
      <c r="CW148" s="23">
        <f t="shared" ca="1" si="190"/>
        <v>-4.6906939214631498E-3</v>
      </c>
      <c r="CX148" s="24">
        <f t="shared" ca="1" si="191"/>
        <v>4.6906939214631498E-3</v>
      </c>
      <c r="CY148" s="24">
        <f t="shared" ca="1" si="192"/>
        <v>9.2392456028819615E-3</v>
      </c>
      <c r="CZ148" s="24">
        <f t="shared" ca="1" si="193"/>
        <v>1.7935006170300277E-2</v>
      </c>
      <c r="DA148" s="24">
        <f t="shared" ca="1" si="194"/>
        <v>3.3877233877233862E-2</v>
      </c>
      <c r="DB148" s="24">
        <f t="shared" ca="1" si="195"/>
        <v>6.0979020979020949E-2</v>
      </c>
      <c r="DC148" s="24">
        <f t="shared" ca="1" si="196"/>
        <v>0.10163170163170158</v>
      </c>
      <c r="DD148" s="24">
        <f t="shared" ca="1" si="197"/>
        <v>0.15244755244755237</v>
      </c>
      <c r="DF148" s="19" cm="1">
        <f t="array" aca="1" ref="DF148" ca="1">MAX(_xlfn._xlws.FILTER(CQ148:DD148,CQ148:DD148&lt;BJ148))</f>
        <v>-1.7935006170300277E-2</v>
      </c>
      <c r="DG148" s="19" cm="1">
        <f t="array" aca="1" ref="DG148" ca="1">MIN(_xlfn._xlws.FILTER(CQ148:DD148,CQ148:DD148&gt;BJ148))</f>
        <v>-9.2392456028819615E-3</v>
      </c>
      <c r="DH148" s="2" cm="1">
        <f t="array" aca="1" ref="DH148" ca="1">_FV(EE148,"Fechamento anterior",TRUE)</f>
        <v>8.31</v>
      </c>
      <c r="DI148" s="36">
        <f t="shared" ca="1" si="174"/>
        <v>0.26348512072333385</v>
      </c>
      <c r="DJ148" s="18">
        <f t="shared" ca="1" si="198"/>
        <v>8.1609600987248054</v>
      </c>
      <c r="DK148" s="18">
        <f t="shared" ca="1" si="199"/>
        <v>8.2332218690400509</v>
      </c>
      <c r="DL148" s="9"/>
      <c r="DM148" s="9"/>
      <c r="DN148" s="9"/>
      <c r="DO148" s="9"/>
      <c r="DP148" s="79">
        <v>9.4017599176318134E-3</v>
      </c>
      <c r="DQ148" s="79">
        <v>1.0143052526522013E-2</v>
      </c>
      <c r="DR148" s="79">
        <v>4.9178436492227952E-3</v>
      </c>
      <c r="DS148" s="79">
        <f t="shared" ca="1" si="175"/>
        <v>8.6957605674183158E-3</v>
      </c>
      <c r="DT148" s="47"/>
      <c r="DU148" s="43">
        <f t="shared" si="176"/>
        <v>0.21283796653792753</v>
      </c>
      <c r="DV148" s="83">
        <f t="shared" ca="1" si="177"/>
        <v>1.5381</v>
      </c>
      <c r="DW148" s="83">
        <f t="shared" ca="1" si="178"/>
        <v>2.6764000000000001</v>
      </c>
      <c r="DX148" s="83">
        <f t="shared" ca="1" si="179"/>
        <v>-1.1383000000000001</v>
      </c>
      <c r="DY148" s="67"/>
      <c r="DZ148" s="67"/>
      <c r="EA148" s="85"/>
      <c r="EB148" s="44">
        <v>280600</v>
      </c>
      <c r="EC148" s="44" cm="1">
        <f t="array" aca="1" ref="EC148" ca="1">_FV(EE148,"Volume")</f>
        <v>365700</v>
      </c>
      <c r="EE148" s="2" t="e" vm="149">
        <v>#VALUE!</v>
      </c>
      <c r="EG148" s="10" cm="1">
        <f t="array" aca="1" ref="EG148" ca="1">_FV(EE148,"Ações em circulação",TRUE)</f>
        <v>150377500</v>
      </c>
      <c r="EH148" s="21">
        <f>VLOOKUP(BH148,Fundamentus!A:U,5,FALSE)</f>
        <v>0.255</v>
      </c>
      <c r="EI148" s="2">
        <f t="shared" ca="1" si="180"/>
        <v>4823874313.7254906</v>
      </c>
      <c r="EJ148" s="20">
        <v>97090790.588235289</v>
      </c>
      <c r="EK148" s="20">
        <f t="shared" ca="1" si="181"/>
        <v>94547936.549019605</v>
      </c>
      <c r="EM148" s="40" t="str">
        <f>IF(VLOOKUP(BH148,Fundamentus!A:U,3,FALSE)&lt;15,"Bom",IF(VLOOKUP(BH148,Fundamentus!A:U,3,FALSE)&gt;15,"Ruim","n/a"))</f>
        <v>Bom</v>
      </c>
      <c r="EN148" s="36" t="str">
        <f>IF(VLOOKUP(BH148,Fundamentus!A:U,4,FALSE)&lt;1,"Baixo",IF(VLOOKUP(BH148,Fundamentus!A:U,4,FALSE)&lt;1.5,"Moderado",IF(VLOOKUP(BH148,Fundamentus!A:U,4,FALSE)&gt;1.5,"Alto","n/a")))</f>
        <v>Moderado</v>
      </c>
      <c r="EO148" s="20" t="str">
        <f>IF(VLOOKUP(BH148,Fundamentus!A:U,8,FALSE)&lt;0,"Risco elevado",IF(VLOOKUP(BH148,Fundamentus!A:U,8,FALSE)&lt;1,"Saudável",IF(VLOOKUP(BH148,Fundamentus!A:U,8,FALSE)&lt;3,"Estável",IF(VLOOKUP(BH148,Fundamentus!A:U,8,FALSE)&gt;3,"Alerta","n/a"))))</f>
        <v>Estável</v>
      </c>
      <c r="EP148" s="36" t="str">
        <f t="shared" si="182"/>
        <v>Ruim</v>
      </c>
      <c r="EQ148" s="20" t="str">
        <f>IF(VLOOKUP(BH148,Fundamentus!A:U,12,FALSE)&lt;2,"Subvalorizada",IF(VLOOKUP(BH148,Fundamentus!A:U,12,FALSE)&lt;6,"Muita barata",IF(VLOOKUP(BH148,Fundamentus!A:U,12,FALSE)&lt;6,"Barata",IF(VLOOKUP(BH148,Fundamentus!A:U,12,FALSE)&lt;8,"Atrativa",IF(VLOOKUP(BH148,Fundamentus!A:U,12,FALSE)&gt;8,"Supervalorizada","n/a")))))</f>
        <v>Atrativa</v>
      </c>
      <c r="ES148" s="20" t="str">
        <f>IF(VLOOKUP(BH148,Fundamentus!A:U,17,FALSE)&lt;0.1,"Fraco retorno",IF(VLOOKUP(BH148,Fundamentus!A:U,17,FALSE)&gt;0.1,"Bom retorno","n/a"))</f>
        <v>Fraco retorno</v>
      </c>
      <c r="ET148" s="20" t="str">
        <f>IF(VLOOKUP(BH148,Fundamentus!A:U,16,FALSE)&lt;0.1,"Ineficiente",IF(VLOOKUP(BH148,Fundamentus!A:U,16,FALSE)&gt;0.1,"Eficiente","n/a"))</f>
        <v>Ineficiente</v>
      </c>
      <c r="EU148" s="41" t="str">
        <f>IF(VLOOKUP(BH148,Fundamentus!A:U,16,FALSE)&lt;0.1,"Oper. Ineficiente",IF(VLOOKUP(BH148,Fundamentus!A:U,16,FALSE)&gt;0.1,"Oper.Eficiente","n/a"))</f>
        <v>Oper. Ineficiente</v>
      </c>
      <c r="EV148" s="42">
        <f>VLOOKUP(BH148,Fundamentus!A:U,14,FALSE)</f>
        <v>1.9599999999999999E-2</v>
      </c>
      <c r="EW148" s="20" t="str">
        <f>IF(VLOOKUP(BH148,Fundamentus!A:U,21,FALSE)&lt;0,"Negativo",IF(VLOOKUP(BH148,Fundamentus!A:U,21,FALSE)&lt;0.05,"Fraco",IF(VLOOKUP(BH148,Fundamentus!A:U,21,FALSE)&lt;0.1,"Bom",IF(VLOOKUP(BH148,Fundamentus!A:U,21,FALSE)&gt;0.1,"Muito bom","n/a"))))</f>
        <v>Muito bom</v>
      </c>
      <c r="EY148" s="37" t="str">
        <f>IF(VLOOKUP(BH148,Fundamentus!A:U,15,FALSE)&gt;1,"Bom",IF(VLOOKUP(BH148,Fundamentus!A:U,15,FALSE)&lt;1,"Ruim","n/a"))</f>
        <v>Bom</v>
      </c>
      <c r="EZ148" s="20" t="str">
        <f>IF(VLOOKUP(BH148,Fundamentus!A:U,20,FALSE)&lt;0.5,"Baixa",IF(VLOOKUP(BH148,Fundamentus!A:U,20,FALSE)&lt;1,"Moderada",IF(VLOOKUP(BH148,Fundamentus!A:U,20,FALSE)&lt;2,"Alerta",IF(VLOOKUP(BH148,Fundamentus!A:U,20,FALSE)&gt;2,"Alta","n/a"))))</f>
        <v>Moderada</v>
      </c>
      <c r="FA148" s="10"/>
    </row>
    <row r="149" spans="1:157" s="2" customFormat="1" ht="11.25" hidden="1" x14ac:dyDescent="0.2">
      <c r="A149" s="4">
        <v>8</v>
      </c>
      <c r="B149" s="4">
        <v>7.88</v>
      </c>
      <c r="C149" s="4">
        <v>7</v>
      </c>
      <c r="D149" s="4">
        <v>7.1</v>
      </c>
      <c r="E149" s="4">
        <v>7.4</v>
      </c>
      <c r="F149" s="4">
        <v>9.07</v>
      </c>
      <c r="G149" s="4">
        <v>7.08</v>
      </c>
      <c r="H149" s="4">
        <v>7.3</v>
      </c>
      <c r="I149" s="4">
        <v>7.25</v>
      </c>
      <c r="J149" s="4">
        <v>7.83</v>
      </c>
      <c r="K149" s="4">
        <v>7.38</v>
      </c>
      <c r="L149" s="4">
        <v>7.34</v>
      </c>
      <c r="M149" s="4">
        <v>8.4</v>
      </c>
      <c r="N149" s="4">
        <v>7.94</v>
      </c>
      <c r="O149" s="4">
        <v>7.73</v>
      </c>
      <c r="P149" s="4">
        <v>7.76</v>
      </c>
      <c r="Q149" s="4">
        <v>7.27</v>
      </c>
      <c r="R149" s="4">
        <v>8.57</v>
      </c>
      <c r="S149" s="4">
        <v>8.6</v>
      </c>
      <c r="T149" s="4">
        <v>8.33</v>
      </c>
      <c r="U149" s="4">
        <v>7.94</v>
      </c>
      <c r="V149" s="4">
        <v>8.77</v>
      </c>
      <c r="W149" s="4">
        <v>9.5500000000000007</v>
      </c>
      <c r="X149" s="4">
        <v>9.5399999999999991</v>
      </c>
      <c r="Y149" s="4">
        <v>9.43</v>
      </c>
      <c r="Z149" s="4">
        <v>9.43</v>
      </c>
      <c r="AA149" s="4">
        <v>9.5500000000000007</v>
      </c>
      <c r="AB149" s="4">
        <v>9.77</v>
      </c>
      <c r="AC149" s="4">
        <v>9.84</v>
      </c>
      <c r="AD149" s="4">
        <v>9.7799999999999994</v>
      </c>
      <c r="AE149" s="4">
        <v>9.76</v>
      </c>
      <c r="AF149" s="4">
        <v>9.83</v>
      </c>
      <c r="AG149" s="4">
        <v>9.92</v>
      </c>
      <c r="AH149" s="4">
        <v>9.82</v>
      </c>
      <c r="AI149" s="4">
        <v>9.82</v>
      </c>
      <c r="AJ149" s="4">
        <v>9.8000000000000007</v>
      </c>
      <c r="AK149" s="4">
        <v>9.91</v>
      </c>
      <c r="AL149" s="4">
        <v>10.08</v>
      </c>
      <c r="AM149" s="4">
        <v>10.119999999999999</v>
      </c>
      <c r="AN149" s="4">
        <v>10.14</v>
      </c>
      <c r="AO149" s="4">
        <v>10.18</v>
      </c>
      <c r="AP149" s="4">
        <v>10.25</v>
      </c>
      <c r="AQ149" s="4">
        <v>10.36</v>
      </c>
      <c r="AR149" s="4">
        <v>10.38</v>
      </c>
      <c r="AS149" s="4">
        <v>10.4</v>
      </c>
      <c r="AT149" s="4">
        <v>10.41</v>
      </c>
      <c r="AU149" s="4">
        <v>10.445</v>
      </c>
      <c r="AV149" s="4">
        <v>10.47</v>
      </c>
      <c r="AW149" s="4">
        <v>10.51</v>
      </c>
      <c r="AX149" s="4">
        <v>10.51</v>
      </c>
      <c r="AY149" s="12">
        <v>10.51</v>
      </c>
      <c r="AZ149" s="12">
        <v>10.51</v>
      </c>
      <c r="BA149" s="12">
        <v>10.51</v>
      </c>
      <c r="BB149" s="18">
        <v>9.9600000000000009</v>
      </c>
      <c r="BC149" s="63">
        <v>10.59</v>
      </c>
      <c r="BD149" s="63">
        <v>10.61</v>
      </c>
      <c r="BE149" s="63">
        <v>10.74</v>
      </c>
      <c r="BF149" s="63">
        <v>10.74</v>
      </c>
      <c r="BG149" s="91" cm="1">
        <f t="array" aca="1" ref="BG149" ca="1">_FV(EE149,"Preço")</f>
        <v>10.77</v>
      </c>
      <c r="BH149" s="93" t="s">
        <v>146</v>
      </c>
      <c r="BI149" s="32" t="e" cm="1" vm="136">
        <f t="array" ref="BI149">_FV(EE149,"Beta")</f>
        <v>#VALUE!</v>
      </c>
      <c r="BJ149" s="96" cm="1">
        <f t="array" aca="1" ref="BJ149" ca="1">_FV(EE149,"Variação (%)",TRUE)</f>
        <v>-2.7780000000000001E-3</v>
      </c>
      <c r="BK149" s="49"/>
      <c r="BL149" s="49"/>
      <c r="BN149" s="32"/>
      <c r="BO149" s="20" cm="1">
        <f t="array" aca="1" ref="BO149" ca="1">_FV(EE149,"Baixo")</f>
        <v>10.77</v>
      </c>
      <c r="BP149" s="20" cm="1">
        <f t="array" aca="1" ref="BP149" ca="1">_FV(EE149,"Alto")</f>
        <v>10.77</v>
      </c>
      <c r="BQ149" s="32"/>
      <c r="BR149" s="74" t="e">
        <f ca="1">SQRT(22.5*(BG149/VLOOKUP(BH149,Fundamentus!A:U,3,FALSE))*(BG149/VLOOKUP(BH149,Fundamentus!A:U,4,FALSE)))</f>
        <v>#N/A</v>
      </c>
      <c r="BT149" s="73">
        <f t="shared" ca="1" si="158"/>
        <v>2.7932960893854151E-3</v>
      </c>
      <c r="BU149" s="36">
        <f t="shared" si="159"/>
        <v>0.34250000000000003</v>
      </c>
      <c r="BV149" s="8"/>
      <c r="BW149" s="72">
        <f t="shared" si="160"/>
        <v>7</v>
      </c>
      <c r="BX149" s="72">
        <f t="shared" si="161"/>
        <v>9.2433620689655172</v>
      </c>
      <c r="BY149" s="72">
        <f t="shared" si="162"/>
        <v>10.74</v>
      </c>
      <c r="BZ149" s="17"/>
      <c r="CA149" s="17"/>
      <c r="CB149" s="43">
        <f t="shared" si="163"/>
        <v>10.66969052626807</v>
      </c>
      <c r="CC149" s="18">
        <f t="shared" si="164"/>
        <v>10.810402999062774</v>
      </c>
      <c r="CD149" s="43">
        <f t="shared" si="165"/>
        <v>10.951115471857477</v>
      </c>
      <c r="CE149" s="98">
        <f t="shared" ca="1" si="166"/>
        <v>-0.28713161143661525</v>
      </c>
      <c r="CF149" s="17"/>
      <c r="CG149" s="20">
        <f t="shared" si="167"/>
        <v>4.5066666666666677</v>
      </c>
      <c r="CH149" s="20">
        <f t="shared" si="168"/>
        <v>5.7533333333333339</v>
      </c>
      <c r="CI149" s="20">
        <f t="shared" si="169"/>
        <v>8.2466666666666679</v>
      </c>
      <c r="CJ149" s="49">
        <f t="shared" si="170"/>
        <v>9.4933333333333341</v>
      </c>
      <c r="CK149" s="20">
        <f t="shared" si="171"/>
        <v>11.986666666666668</v>
      </c>
      <c r="CL149" s="20">
        <f t="shared" si="172"/>
        <v>13.233333333333334</v>
      </c>
      <c r="CM149" s="20">
        <f t="shared" si="173"/>
        <v>15.726666666666668</v>
      </c>
      <c r="CN149" s="2" cm="1">
        <f t="array" aca="1" ref="CN149" ca="1">MAX(_xlfn._xlws.FILTER(CG149:CM149,CG149:CM149&lt;BG149))</f>
        <v>9.4933333333333341</v>
      </c>
      <c r="CO149" s="2" cm="1">
        <f t="array" aca="1" ref="CO149" ca="1">MIN(_xlfn._xlws.FILTER($CG149:$CM149,$CG149:$CM149&gt;BG149))</f>
        <v>11.986666666666668</v>
      </c>
      <c r="CP149" s="19">
        <f t="shared" ca="1" si="183"/>
        <v>0.26264044943820219</v>
      </c>
      <c r="CQ149" s="23">
        <f t="shared" ca="1" si="184"/>
        <v>-0.1313202247191011</v>
      </c>
      <c r="CR149" s="23">
        <f t="shared" ca="1" si="185"/>
        <v>-8.7546816479400727E-2</v>
      </c>
      <c r="CS149" s="23">
        <f t="shared" ca="1" si="186"/>
        <v>-5.252808988764044E-2</v>
      </c>
      <c r="CT149" s="23">
        <f t="shared" ca="1" si="187"/>
        <v>-2.9182272159800245E-2</v>
      </c>
      <c r="CU149" s="23">
        <f t="shared" ca="1" si="188"/>
        <v>-1.5449438202247187E-2</v>
      </c>
      <c r="CV149" s="23">
        <f t="shared" ca="1" si="189"/>
        <v>-7.9588014981273394E-3</v>
      </c>
      <c r="CW149" s="23">
        <f t="shared" ca="1" si="190"/>
        <v>-4.0406222990492643E-3</v>
      </c>
      <c r="CX149" s="24">
        <f t="shared" ca="1" si="191"/>
        <v>4.0406222990492643E-3</v>
      </c>
      <c r="CY149" s="24">
        <f t="shared" ca="1" si="192"/>
        <v>7.9588014981273394E-3</v>
      </c>
      <c r="CZ149" s="24">
        <f t="shared" ca="1" si="193"/>
        <v>1.5449438202247187E-2</v>
      </c>
      <c r="DA149" s="24">
        <f t="shared" ca="1" si="194"/>
        <v>2.9182272159800245E-2</v>
      </c>
      <c r="DB149" s="24">
        <f t="shared" ca="1" si="195"/>
        <v>5.252808988764044E-2</v>
      </c>
      <c r="DC149" s="24">
        <f t="shared" ca="1" si="196"/>
        <v>8.7546816479400727E-2</v>
      </c>
      <c r="DD149" s="24">
        <f t="shared" ca="1" si="197"/>
        <v>0.1313202247191011</v>
      </c>
      <c r="DF149" s="19" cm="1">
        <f t="array" aca="1" ref="DF149" ca="1">MAX(_xlfn._xlws.FILTER(CQ149:DD149,CQ149:DD149&lt;BJ149))</f>
        <v>-4.0406222990492643E-3</v>
      </c>
      <c r="DG149" s="19" cm="1">
        <f t="array" aca="1" ref="DG149" ca="1">MIN(_xlfn._xlws.FILTER(CQ149:DD149,CQ149:DD149&gt;BJ149))</f>
        <v>4.0406222990492643E-3</v>
      </c>
      <c r="DH149" s="2" cm="1">
        <f t="array" aca="1" ref="DH149" ca="1">_FV(EE149,"Fechamento anterior",TRUE)</f>
        <v>10.8</v>
      </c>
      <c r="DI149" s="36">
        <f t="shared" ca="1" si="174"/>
        <v>0.15626856803325664</v>
      </c>
      <c r="DJ149" s="18">
        <f t="shared" ca="1" si="198"/>
        <v>10.756361279170269</v>
      </c>
      <c r="DK149" s="18">
        <f t="shared" ca="1" si="199"/>
        <v>10.843638720829732</v>
      </c>
      <c r="DL149" s="9"/>
      <c r="DM149" s="9"/>
      <c r="DN149" s="9"/>
      <c r="DO149" s="9"/>
      <c r="DP149" s="79">
        <v>5.8401817260430302E-3</v>
      </c>
      <c r="DQ149" s="79">
        <v>3.1716315180882119E-3</v>
      </c>
      <c r="DR149" s="79">
        <v>6.5414900060569376E-3</v>
      </c>
      <c r="DS149" s="79">
        <f t="shared" ca="1" si="175"/>
        <v>8.0812445980985286E-3</v>
      </c>
      <c r="DT149" s="47"/>
      <c r="DU149" s="43">
        <f t="shared" si="176"/>
        <v>7.035623639735171E-2</v>
      </c>
      <c r="DV149" s="83" t="e" vm="137">
        <f t="shared" ca="1" si="177"/>
        <v>#VALUE!</v>
      </c>
      <c r="DW149" s="83" t="e" vm="137">
        <f t="shared" ca="1" si="178"/>
        <v>#VALUE!</v>
      </c>
      <c r="DX149" s="83" t="e" vm="137">
        <f t="shared" ca="1" si="179"/>
        <v>#VALUE!</v>
      </c>
      <c r="DY149" s="67"/>
      <c r="DZ149" s="67"/>
      <c r="EA149" s="85"/>
      <c r="EB149" s="44">
        <v>700</v>
      </c>
      <c r="EC149" s="44" cm="1">
        <f t="array" aca="1" ref="EC149" ca="1">_FV(EE149,"Volume")</f>
        <v>1900</v>
      </c>
      <c r="EE149" s="2" t="e" vm="150">
        <v>#VALUE!</v>
      </c>
      <c r="EG149" s="10" t="e" cm="1" vm="151">
        <f t="array" ref="EG149">_FV(EE149,"Ações em circulação",TRUE)</f>
        <v>#VALUE!</v>
      </c>
      <c r="EH149" s="21" t="e">
        <f>VLOOKUP(BH149,Fundamentus!A:U,5,FALSE)</f>
        <v>#N/A</v>
      </c>
      <c r="EI149" s="2" t="e" vm="137">
        <f t="shared" ca="1" si="180"/>
        <v>#VALUE!</v>
      </c>
      <c r="EJ149" s="20" t="e" vm="137">
        <v>#VALUE!</v>
      </c>
      <c r="EK149" s="20" t="e" vm="137">
        <f t="shared" ca="1" si="181"/>
        <v>#VALUE!</v>
      </c>
      <c r="EM149" s="40" t="e">
        <f>IF(VLOOKUP(BH149,Fundamentus!A:U,3,FALSE)&lt;15,"Bom",IF(VLOOKUP(BH149,Fundamentus!A:U,3,FALSE)&gt;15,"Ruim","n/a"))</f>
        <v>#N/A</v>
      </c>
      <c r="EN149" s="36" t="e">
        <f>IF(VLOOKUP(BH149,Fundamentus!A:U,4,FALSE)&lt;1,"Baixo",IF(VLOOKUP(BH149,Fundamentus!A:U,4,FALSE)&lt;1.5,"Moderado",IF(VLOOKUP(BH149,Fundamentus!A:U,4,FALSE)&gt;1.5,"Alto","n/a")))</f>
        <v>#N/A</v>
      </c>
      <c r="EO149" s="20" t="e">
        <f>IF(VLOOKUP(BH149,Fundamentus!A:U,8,FALSE)&lt;0,"Risco elevado",IF(VLOOKUP(BH149,Fundamentus!A:U,8,FALSE)&lt;1,"Saudável",IF(VLOOKUP(BH149,Fundamentus!A:U,8,FALSE)&lt;3,"Estável",IF(VLOOKUP(BH149,Fundamentus!A:U,8,FALSE)&gt;3,"Alerta","n/a"))))</f>
        <v>#N/A</v>
      </c>
      <c r="EP149" s="36" t="e">
        <f t="shared" si="182"/>
        <v>#N/A</v>
      </c>
      <c r="EQ149" s="20" t="e">
        <f>IF(VLOOKUP(BH149,Fundamentus!A:U,12,FALSE)&lt;2,"Subvalorizada",IF(VLOOKUP(BH149,Fundamentus!A:U,12,FALSE)&lt;6,"Muita barata",IF(VLOOKUP(BH149,Fundamentus!A:U,12,FALSE)&lt;6,"Barata",IF(VLOOKUP(BH149,Fundamentus!A:U,12,FALSE)&lt;8,"Atrativa",IF(VLOOKUP(BH149,Fundamentus!A:U,12,FALSE)&gt;8,"Supervalorizada","n/a")))))</f>
        <v>#N/A</v>
      </c>
      <c r="ES149" s="20" t="e">
        <f>IF(VLOOKUP(BH149,Fundamentus!A:U,17,FALSE)&lt;0.1,"Fraco retorno",IF(VLOOKUP(BH149,Fundamentus!A:U,17,FALSE)&gt;0.1,"Bom retorno","n/a"))</f>
        <v>#N/A</v>
      </c>
      <c r="ET149" s="20" t="e">
        <f>IF(VLOOKUP(BH149,Fundamentus!A:U,16,FALSE)&lt;0.1,"Ineficiente",IF(VLOOKUP(BH149,Fundamentus!A:U,16,FALSE)&gt;0.1,"Eficiente","n/a"))</f>
        <v>#N/A</v>
      </c>
      <c r="EU149" s="41" t="e">
        <f>IF(VLOOKUP(BH149,Fundamentus!A:U,16,FALSE)&lt;0.1,"Oper. Ineficiente",IF(VLOOKUP(BH149,Fundamentus!A:U,16,FALSE)&gt;0.1,"Oper.Eficiente","n/a"))</f>
        <v>#N/A</v>
      </c>
      <c r="EV149" s="42" t="e">
        <f>VLOOKUP(BH149,Fundamentus!A:U,14,FALSE)</f>
        <v>#N/A</v>
      </c>
      <c r="EW149" s="20" t="e">
        <f>IF(VLOOKUP(BH149,Fundamentus!A:U,21,FALSE)&lt;0,"Negativo",IF(VLOOKUP(BH149,Fundamentus!A:U,21,FALSE)&lt;0.05,"Fraco",IF(VLOOKUP(BH149,Fundamentus!A:U,21,FALSE)&lt;0.1,"Bom",IF(VLOOKUP(BH149,Fundamentus!A:U,21,FALSE)&gt;0.1,"Muito bom","n/a"))))</f>
        <v>#N/A</v>
      </c>
      <c r="EY149" s="37" t="e">
        <f>IF(VLOOKUP(BH149,Fundamentus!A:U,15,FALSE)&gt;1,"Bom",IF(VLOOKUP(BH149,Fundamentus!A:U,15,FALSE)&lt;1,"Ruim","n/a"))</f>
        <v>#N/A</v>
      </c>
      <c r="EZ149" s="20" t="e">
        <f>IF(VLOOKUP(BH149,Fundamentus!A:U,20,FALSE)&lt;0.5,"Baixa",IF(VLOOKUP(BH149,Fundamentus!A:U,20,FALSE)&lt;1,"Moderada",IF(VLOOKUP(BH149,Fundamentus!A:U,20,FALSE)&lt;2,"Alerta",IF(VLOOKUP(BH149,Fundamentus!A:U,20,FALSE)&gt;2,"Alta","n/a"))))</f>
        <v>#N/A</v>
      </c>
      <c r="FA149" s="10"/>
    </row>
    <row r="150" spans="1:157" s="2" customFormat="1" ht="11.25" hidden="1" x14ac:dyDescent="0.2">
      <c r="A150" s="4">
        <v>4.72</v>
      </c>
      <c r="B150" s="4">
        <v>4.3499999999999996</v>
      </c>
      <c r="C150" s="4">
        <v>4.2699999999999996</v>
      </c>
      <c r="D150" s="4">
        <v>4.2</v>
      </c>
      <c r="E150" s="4">
        <v>4.05</v>
      </c>
      <c r="F150" s="4">
        <v>3.98</v>
      </c>
      <c r="G150" s="4">
        <v>4.03</v>
      </c>
      <c r="H150" s="4">
        <v>4.17</v>
      </c>
      <c r="I150" s="4">
        <v>4.26</v>
      </c>
      <c r="J150" s="4">
        <v>4.2</v>
      </c>
      <c r="K150" s="4">
        <v>4.18</v>
      </c>
      <c r="L150" s="4">
        <v>4.28</v>
      </c>
      <c r="M150" s="4">
        <v>4.24</v>
      </c>
      <c r="N150" s="4">
        <v>4.37</v>
      </c>
      <c r="O150" s="4">
        <v>4.1900000000000004</v>
      </c>
      <c r="P150" s="4">
        <v>4.1900000000000004</v>
      </c>
      <c r="Q150" s="4">
        <v>4.4000000000000004</v>
      </c>
      <c r="R150" s="4">
        <v>4.3600000000000003</v>
      </c>
      <c r="S150" s="4">
        <v>4.3099999999999996</v>
      </c>
      <c r="T150" s="4">
        <v>4.3600000000000003</v>
      </c>
      <c r="U150" s="4">
        <v>4.17</v>
      </c>
      <c r="V150" s="4">
        <v>4.2</v>
      </c>
      <c r="W150" s="4">
        <v>4.2699999999999996</v>
      </c>
      <c r="X150" s="4">
        <v>4.03</v>
      </c>
      <c r="Y150" s="4">
        <v>4.1399999999999997</v>
      </c>
      <c r="Z150" s="4">
        <v>4.16</v>
      </c>
      <c r="AA150" s="4">
        <v>4.1900000000000004</v>
      </c>
      <c r="AB150" s="4">
        <v>4.13</v>
      </c>
      <c r="AC150" s="4">
        <v>4.1100000000000003</v>
      </c>
      <c r="AD150" s="4">
        <v>4.26</v>
      </c>
      <c r="AE150" s="4">
        <v>4.4000000000000004</v>
      </c>
      <c r="AF150" s="4">
        <v>4.57</v>
      </c>
      <c r="AG150" s="4">
        <v>4.59</v>
      </c>
      <c r="AH150" s="4">
        <v>4.5599999999999996</v>
      </c>
      <c r="AI150" s="4">
        <v>4.5999999999999996</v>
      </c>
      <c r="AJ150" s="4">
        <v>4.49</v>
      </c>
      <c r="AK150" s="4">
        <v>4.34</v>
      </c>
      <c r="AL150" s="4">
        <v>4.2699999999999996</v>
      </c>
      <c r="AM150" s="4">
        <v>4.34</v>
      </c>
      <c r="AN150" s="4">
        <v>4.41</v>
      </c>
      <c r="AO150" s="4">
        <v>4.1900000000000004</v>
      </c>
      <c r="AP150" s="4">
        <v>4.24</v>
      </c>
      <c r="AQ150" s="4">
        <v>4.1399999999999997</v>
      </c>
      <c r="AR150" s="4">
        <v>3.97</v>
      </c>
      <c r="AS150" s="4">
        <v>4</v>
      </c>
      <c r="AT150" s="4">
        <v>3.9</v>
      </c>
      <c r="AU150" s="4">
        <v>3.92</v>
      </c>
      <c r="AV150" s="4">
        <v>3.8</v>
      </c>
      <c r="AW150" s="4">
        <v>3.68</v>
      </c>
      <c r="AX150" s="4">
        <v>3.59</v>
      </c>
      <c r="AY150" s="12">
        <v>3.56</v>
      </c>
      <c r="AZ150" s="12">
        <v>3.71</v>
      </c>
      <c r="BA150" s="12">
        <v>3.68</v>
      </c>
      <c r="BB150" s="18">
        <v>3.94</v>
      </c>
      <c r="BC150" s="63">
        <v>3.91</v>
      </c>
      <c r="BD150" s="63">
        <v>3.83</v>
      </c>
      <c r="BE150" s="63">
        <v>3.67</v>
      </c>
      <c r="BF150" s="63">
        <v>3.64</v>
      </c>
      <c r="BG150" s="91" cm="1">
        <f t="array" aca="1" ref="BG150" ca="1">_FV(EE150,"Preço")</f>
        <v>3.64</v>
      </c>
      <c r="BH150" s="93" t="s">
        <v>147</v>
      </c>
      <c r="BI150" s="32" cm="1">
        <f t="array" aca="1" ref="BI150" ca="1">_FV(EE150,"Beta")</f>
        <v>0.34710000000000002</v>
      </c>
      <c r="BJ150" s="96" cm="1">
        <f t="array" aca="1" ref="BJ150" ca="1">_FV(EE150,"Variação (%)",TRUE)</f>
        <v>2.7550000000000001E-3</v>
      </c>
      <c r="BK150" s="49"/>
      <c r="BL150" s="49"/>
      <c r="BN150" s="32"/>
      <c r="BO150" s="20" cm="1">
        <f t="array" aca="1" ref="BO150" ca="1">_FV(EE150,"Baixo")</f>
        <v>3.6</v>
      </c>
      <c r="BP150" s="20" cm="1">
        <f t="array" aca="1" ref="BP150" ca="1">_FV(EE150,"Alto")</f>
        <v>3.68</v>
      </c>
      <c r="BQ150" s="32"/>
      <c r="BR150" s="74">
        <f ca="1">SQRT(22.5*(BG150/VLOOKUP(BH150,Fundamentus!A:U,3,FALSE))*(BG150/VLOOKUP(BH150,Fundamentus!A:U,4,FALSE)))</f>
        <v>2.9913071001505407</v>
      </c>
      <c r="BT150" s="73">
        <f t="shared" ca="1" si="158"/>
        <v>0</v>
      </c>
      <c r="BU150" s="36">
        <f t="shared" si="159"/>
        <v>-0.22245762711864403</v>
      </c>
      <c r="BV150" s="8"/>
      <c r="BW150" s="72">
        <f t="shared" si="160"/>
        <v>3.56</v>
      </c>
      <c r="BX150" s="72">
        <f t="shared" si="161"/>
        <v>4.1501724137931042</v>
      </c>
      <c r="BY150" s="72">
        <f t="shared" si="162"/>
        <v>4.72</v>
      </c>
      <c r="BZ150" s="17"/>
      <c r="CA150" s="17"/>
      <c r="CB150" s="43">
        <f t="shared" si="163"/>
        <v>3.3034488931564145</v>
      </c>
      <c r="CC150" s="18">
        <f t="shared" si="164"/>
        <v>3.5267760074976877</v>
      </c>
      <c r="CD150" s="43">
        <f t="shared" si="165"/>
        <v>3.7501031218389609</v>
      </c>
      <c r="CE150" s="98">
        <f t="shared" ca="1" si="166"/>
        <v>0.50698721844088879</v>
      </c>
      <c r="CF150" s="17"/>
      <c r="CG150" s="20">
        <f t="shared" si="167"/>
        <v>2.0666666666666669</v>
      </c>
      <c r="CH150" s="20">
        <f t="shared" si="168"/>
        <v>2.8133333333333335</v>
      </c>
      <c r="CI150" s="20">
        <f t="shared" si="169"/>
        <v>3.2266666666666666</v>
      </c>
      <c r="CJ150" s="49">
        <f t="shared" si="170"/>
        <v>3.9733333333333332</v>
      </c>
      <c r="CK150" s="20">
        <f t="shared" si="171"/>
        <v>4.3866666666666667</v>
      </c>
      <c r="CL150" s="20">
        <f t="shared" si="172"/>
        <v>5.1333333333333329</v>
      </c>
      <c r="CM150" s="20">
        <f t="shared" si="173"/>
        <v>5.546666666666666</v>
      </c>
      <c r="CN150" s="2" cm="1">
        <f t="array" aca="1" ref="CN150" ca="1">MAX(_xlfn._xlws.FILTER(CG150:CM150,CG150:CM150&lt;BG150))</f>
        <v>3.2266666666666666</v>
      </c>
      <c r="CO150" s="2" cm="1">
        <f t="array" aca="1" ref="CO150" ca="1">MIN(_xlfn._xlws.FILTER($CG150:$CM150,$CG150:$CM150&gt;BG150))</f>
        <v>3.9733333333333332</v>
      </c>
      <c r="CP150" s="19">
        <f t="shared" ca="1" si="183"/>
        <v>0.23140495867768585</v>
      </c>
      <c r="CQ150" s="23">
        <f t="shared" ca="1" si="184"/>
        <v>-0.11570247933884292</v>
      </c>
      <c r="CR150" s="23">
        <f t="shared" ca="1" si="185"/>
        <v>-7.7134986225895277E-2</v>
      </c>
      <c r="CS150" s="23">
        <f t="shared" ca="1" si="186"/>
        <v>-4.6280991735537166E-2</v>
      </c>
      <c r="CT150" s="23">
        <f t="shared" ca="1" si="187"/>
        <v>-2.5711662075298427E-2</v>
      </c>
      <c r="CU150" s="23">
        <f t="shared" ca="1" si="188"/>
        <v>-1.361205639280505E-2</v>
      </c>
      <c r="CV150" s="23">
        <f t="shared" ca="1" si="189"/>
        <v>-7.0122714750813896E-3</v>
      </c>
      <c r="CW150" s="23">
        <f t="shared" ca="1" si="190"/>
        <v>-3.5600762873490132E-3</v>
      </c>
      <c r="CX150" s="24">
        <f t="shared" ca="1" si="191"/>
        <v>3.5600762873490132E-3</v>
      </c>
      <c r="CY150" s="24">
        <f t="shared" ca="1" si="192"/>
        <v>7.0122714750813896E-3</v>
      </c>
      <c r="CZ150" s="24">
        <f t="shared" ca="1" si="193"/>
        <v>1.361205639280505E-2</v>
      </c>
      <c r="DA150" s="24">
        <f t="shared" ca="1" si="194"/>
        <v>2.5711662075298427E-2</v>
      </c>
      <c r="DB150" s="24">
        <f t="shared" ca="1" si="195"/>
        <v>4.6280991735537166E-2</v>
      </c>
      <c r="DC150" s="24">
        <f t="shared" ca="1" si="196"/>
        <v>7.7134986225895277E-2</v>
      </c>
      <c r="DD150" s="24">
        <f t="shared" ca="1" si="197"/>
        <v>0.11570247933884292</v>
      </c>
      <c r="DF150" s="19" cm="1">
        <f t="array" aca="1" ref="DF150" ca="1">MAX(_xlfn._xlws.FILTER(CQ150:DD150,CQ150:DD150&lt;BJ150))</f>
        <v>-3.5600762873490132E-3</v>
      </c>
      <c r="DG150" s="19" cm="1">
        <f t="array" aca="1" ref="DG150" ca="1">MIN(_xlfn._xlws.FILTER(CQ150:DD150,CQ150:DD150&gt;BJ150))</f>
        <v>3.5600762873490132E-3</v>
      </c>
      <c r="DH150" s="2" cm="1">
        <f t="array" aca="1" ref="DH150" ca="1">_FV(EE150,"Fechamento anterior",TRUE)</f>
        <v>3.63</v>
      </c>
      <c r="DI150" s="36">
        <f t="shared" ca="1" si="174"/>
        <v>0.88690476190476741</v>
      </c>
      <c r="DJ150" s="18">
        <f t="shared" ca="1" si="198"/>
        <v>3.6170769230769229</v>
      </c>
      <c r="DK150" s="18">
        <f t="shared" ca="1" si="199"/>
        <v>3.6429230769230769</v>
      </c>
      <c r="DL150" s="9"/>
      <c r="DM150" s="9"/>
      <c r="DN150" s="9"/>
      <c r="DO150" s="9"/>
      <c r="DP150" s="79">
        <v>7.4983839689721984E-3</v>
      </c>
      <c r="DQ150" s="79">
        <v>2.166199813258635E-2</v>
      </c>
      <c r="DR150" s="79">
        <v>6.9503737323806476E-3</v>
      </c>
      <c r="DS150" s="79">
        <f t="shared" ca="1" si="175"/>
        <v>7.1201525746980264E-3</v>
      </c>
      <c r="DT150" s="47"/>
      <c r="DU150" s="43">
        <f t="shared" si="176"/>
        <v>0.1116635571706365</v>
      </c>
      <c r="DV150" s="83">
        <f t="shared" ca="1" si="177"/>
        <v>0.7732</v>
      </c>
      <c r="DW150" s="83">
        <f t="shared" ca="1" si="178"/>
        <v>7.1599999999999997E-2</v>
      </c>
      <c r="DX150" s="83">
        <f t="shared" ca="1" si="179"/>
        <v>0.7016</v>
      </c>
      <c r="DY150" s="67"/>
      <c r="DZ150" s="67"/>
      <c r="EA150" s="85"/>
      <c r="EB150" s="44">
        <v>1541000</v>
      </c>
      <c r="EC150" s="44" cm="1">
        <f t="array" aca="1" ref="EC150" ca="1">_FV(EE150,"Volume")</f>
        <v>1805900</v>
      </c>
      <c r="EE150" s="2" t="e" vm="152">
        <v>#VALUE!</v>
      </c>
      <c r="EG150" s="10" cm="1">
        <f t="array" aca="1" ref="EG150" ca="1">_FV(EE150,"Ações em circulação",TRUE)</f>
        <v>1235936000</v>
      </c>
      <c r="EH150" s="21">
        <f>VLOOKUP(BH150,Fundamentus!A:U,5,FALSE)</f>
        <v>1.1359999999999999</v>
      </c>
      <c r="EI150" s="2">
        <f t="shared" ca="1" si="180"/>
        <v>3960217464.7887325</v>
      </c>
      <c r="EJ150" s="20">
        <v>401170029.18309861</v>
      </c>
      <c r="EK150" s="20">
        <f t="shared" ca="1" si="181"/>
        <v>401170029.18309861</v>
      </c>
      <c r="EM150" s="40" t="str">
        <f>IF(VLOOKUP(BH150,Fundamentus!A:U,3,FALSE)&lt;15,"Bom",IF(VLOOKUP(BH150,Fundamentus!A:U,3,FALSE)&gt;15,"Ruim","n/a"))</f>
        <v>Bom</v>
      </c>
      <c r="EN150" s="36" t="str">
        <f>IF(VLOOKUP(BH150,Fundamentus!A:U,4,FALSE)&lt;1,"Baixo",IF(VLOOKUP(BH150,Fundamentus!A:U,4,FALSE)&lt;1.5,"Moderado",IF(VLOOKUP(BH150,Fundamentus!A:U,4,FALSE)&gt;1.5,"Alto","n/a")))</f>
        <v>Alto</v>
      </c>
      <c r="EO150" s="20" t="str">
        <f>IF(VLOOKUP(BH150,Fundamentus!A:U,8,FALSE)&lt;0,"Risco elevado",IF(VLOOKUP(BH150,Fundamentus!A:U,8,FALSE)&lt;1,"Saudável",IF(VLOOKUP(BH150,Fundamentus!A:U,8,FALSE)&lt;3,"Estável",IF(VLOOKUP(BH150,Fundamentus!A:U,8,FALSE)&gt;3,"Alerta","n/a"))))</f>
        <v>Alerta</v>
      </c>
      <c r="EP150" s="36" t="str">
        <f t="shared" si="182"/>
        <v>Bom</v>
      </c>
      <c r="EQ150" s="20" t="str">
        <f>IF(VLOOKUP(BH150,Fundamentus!A:U,12,FALSE)&lt;2,"Subvalorizada",IF(VLOOKUP(BH150,Fundamentus!A:U,12,FALSE)&lt;6,"Muita barata",IF(VLOOKUP(BH150,Fundamentus!A:U,12,FALSE)&lt;6,"Barata",IF(VLOOKUP(BH150,Fundamentus!A:U,12,FALSE)&lt;8,"Atrativa",IF(VLOOKUP(BH150,Fundamentus!A:U,12,FALSE)&gt;8,"Supervalorizada","n/a")))))</f>
        <v>Muita barata</v>
      </c>
      <c r="ES150" s="20" t="str">
        <f>IF(VLOOKUP(BH150,Fundamentus!A:U,17,FALSE)&lt;0.1,"Fraco retorno",IF(VLOOKUP(BH150,Fundamentus!A:U,17,FALSE)&gt;0.1,"Bom retorno","n/a"))</f>
        <v>Bom retorno</v>
      </c>
      <c r="ET150" s="20" t="str">
        <f>IF(VLOOKUP(BH150,Fundamentus!A:U,16,FALSE)&lt;0.1,"Ineficiente",IF(VLOOKUP(BH150,Fundamentus!A:U,16,FALSE)&gt;0.1,"Eficiente","n/a"))</f>
        <v>Ineficiente</v>
      </c>
      <c r="EU150" s="41" t="str">
        <f>IF(VLOOKUP(BH150,Fundamentus!A:U,16,FALSE)&lt;0.1,"Oper. Ineficiente",IF(VLOOKUP(BH150,Fundamentus!A:U,16,FALSE)&gt;0.1,"Oper.Eficiente","n/a"))</f>
        <v>Oper. Ineficiente</v>
      </c>
      <c r="EV150" s="42">
        <f>VLOOKUP(BH150,Fundamentus!A:U,14,FALSE)</f>
        <v>0.1013</v>
      </c>
      <c r="EW150" s="20" t="str">
        <f>IF(VLOOKUP(BH150,Fundamentus!A:U,21,FALSE)&lt;0,"Negativo",IF(VLOOKUP(BH150,Fundamentus!A:U,21,FALSE)&lt;0.05,"Fraco",IF(VLOOKUP(BH150,Fundamentus!A:U,21,FALSE)&lt;0.1,"Bom",IF(VLOOKUP(BH150,Fundamentus!A:U,21,FALSE)&gt;0.1,"Muito bom","n/a"))))</f>
        <v>Bom</v>
      </c>
      <c r="EY150" s="37" t="str">
        <f>IF(VLOOKUP(BH150,Fundamentus!A:U,15,FALSE)&gt;1,"Bom",IF(VLOOKUP(BH150,Fundamentus!A:U,15,FALSE)&lt;1,"Ruim","n/a"))</f>
        <v>Bom</v>
      </c>
      <c r="EZ150" s="20" t="str">
        <f>IF(VLOOKUP(BH150,Fundamentus!A:U,20,FALSE)&lt;0.5,"Baixa",IF(VLOOKUP(BH150,Fundamentus!A:U,20,FALSE)&lt;1,"Moderada",IF(VLOOKUP(BH150,Fundamentus!A:U,20,FALSE)&lt;2,"Alerta",IF(VLOOKUP(BH150,Fundamentus!A:U,20,FALSE)&gt;2,"Alta","n/a"))))</f>
        <v>Alta</v>
      </c>
      <c r="FA150" s="10"/>
    </row>
    <row r="151" spans="1:157" s="2" customFormat="1" ht="11.25" hidden="1" x14ac:dyDescent="0.2">
      <c r="A151" s="4">
        <v>8.7200000000000006</v>
      </c>
      <c r="B151" s="4">
        <v>8.16</v>
      </c>
      <c r="C151" s="4">
        <v>8.7200000000000006</v>
      </c>
      <c r="D151" s="4">
        <v>7.9</v>
      </c>
      <c r="E151" s="4">
        <v>7.85</v>
      </c>
      <c r="F151" s="4">
        <v>8.3800000000000008</v>
      </c>
      <c r="G151" s="4">
        <v>7.76</v>
      </c>
      <c r="H151" s="4">
        <v>7.96</v>
      </c>
      <c r="I151" s="4">
        <v>7.75</v>
      </c>
      <c r="J151" s="4">
        <v>8.48</v>
      </c>
      <c r="K151" s="4">
        <v>8.48</v>
      </c>
      <c r="L151" s="4">
        <v>8.09</v>
      </c>
      <c r="M151" s="4">
        <v>8.31</v>
      </c>
      <c r="N151" s="4">
        <v>8.41</v>
      </c>
      <c r="O151" s="4">
        <v>8.9700000000000006</v>
      </c>
      <c r="P151" s="4">
        <v>9.44</v>
      </c>
      <c r="Q151" s="4">
        <v>9.73</v>
      </c>
      <c r="R151" s="4">
        <v>9.4600000000000009</v>
      </c>
      <c r="S151" s="4">
        <v>9.35</v>
      </c>
      <c r="T151" s="4">
        <v>9.24</v>
      </c>
      <c r="U151" s="4">
        <v>8.76</v>
      </c>
      <c r="V151" s="4">
        <v>8.98</v>
      </c>
      <c r="W151" s="4">
        <v>8.39</v>
      </c>
      <c r="X151" s="4">
        <v>8.4</v>
      </c>
      <c r="Y151" s="4">
        <v>8.58</v>
      </c>
      <c r="Z151" s="4">
        <v>8.51</v>
      </c>
      <c r="AA151" s="4">
        <v>8.49</v>
      </c>
      <c r="AB151" s="4">
        <v>8.67</v>
      </c>
      <c r="AC151" s="4">
        <v>8.6999999999999993</v>
      </c>
      <c r="AD151" s="4">
        <v>8.57</v>
      </c>
      <c r="AE151" s="4">
        <v>7.9</v>
      </c>
      <c r="AF151" s="4">
        <v>7.67</v>
      </c>
      <c r="AG151" s="4">
        <v>7.42</v>
      </c>
      <c r="AH151" s="4">
        <v>7.09</v>
      </c>
      <c r="AI151" s="4">
        <v>7.29</v>
      </c>
      <c r="AJ151" s="4">
        <v>7.1</v>
      </c>
      <c r="AK151" s="4">
        <v>6.95</v>
      </c>
      <c r="AL151" s="4">
        <v>7.18</v>
      </c>
      <c r="AM151" s="4">
        <v>7.29</v>
      </c>
      <c r="AN151" s="4">
        <v>8.0500000000000007</v>
      </c>
      <c r="AO151" s="4">
        <v>8.36</v>
      </c>
      <c r="AP151" s="4">
        <v>8.34</v>
      </c>
      <c r="AQ151" s="4">
        <v>8.11</v>
      </c>
      <c r="AR151" s="4">
        <v>7.56</v>
      </c>
      <c r="AS151" s="4">
        <v>7.81</v>
      </c>
      <c r="AT151" s="4">
        <v>8.31</v>
      </c>
      <c r="AU151" s="4">
        <v>8.5399999999999991</v>
      </c>
      <c r="AV151" s="4">
        <v>8.09</v>
      </c>
      <c r="AW151" s="4">
        <v>7.8</v>
      </c>
      <c r="AX151" s="4">
        <v>7.34</v>
      </c>
      <c r="AY151" s="12">
        <v>7.65</v>
      </c>
      <c r="AZ151" s="12">
        <v>8.25</v>
      </c>
      <c r="BA151" s="12">
        <v>8.39</v>
      </c>
      <c r="BB151" s="18">
        <v>8.99</v>
      </c>
      <c r="BC151" s="63">
        <v>8.77</v>
      </c>
      <c r="BD151" s="63">
        <v>8.8000000000000007</v>
      </c>
      <c r="BE151" s="63">
        <v>8.44</v>
      </c>
      <c r="BF151" s="63">
        <v>8.64</v>
      </c>
      <c r="BG151" s="91" cm="1">
        <f t="array" aca="1" ref="BG151" ca="1">_FV(EE151,"Preço")</f>
        <v>8.8000000000000007</v>
      </c>
      <c r="BH151" s="93" t="s">
        <v>148</v>
      </c>
      <c r="BI151" s="32" cm="1">
        <f t="array" aca="1" ref="BI151" ca="1">_FV(EE151,"Beta")</f>
        <v>1.3798999999999999</v>
      </c>
      <c r="BJ151" s="96" cm="1">
        <f t="array" aca="1" ref="BJ151" ca="1">_FV(EE151,"Variação (%)",TRUE)</f>
        <v>-3.2966999999999996E-2</v>
      </c>
      <c r="BK151" s="49"/>
      <c r="BL151" s="49"/>
      <c r="BN151" s="32"/>
      <c r="BO151" s="20" cm="1">
        <f t="array" aca="1" ref="BO151" ca="1">_FV(EE151,"Baixo")</f>
        <v>8.74</v>
      </c>
      <c r="BP151" s="20" cm="1">
        <f t="array" aca="1" ref="BP151" ca="1">_FV(EE151,"Alto")</f>
        <v>9.08</v>
      </c>
      <c r="BQ151" s="32"/>
      <c r="BR151" s="74">
        <f ca="1">SQRT(22.5*(BG151/VLOOKUP(BH151,Fundamentus!A:U,3,FALSE))*(BG151/VLOOKUP(BH151,Fundamentus!A:U,4,FALSE)))</f>
        <v>11.225853563591942</v>
      </c>
      <c r="BT151" s="73">
        <f t="shared" ca="1" si="158"/>
        <v>1.8518518518518535E-2</v>
      </c>
      <c r="BU151" s="36">
        <f t="shared" si="159"/>
        <v>-3.2110091743119393E-2</v>
      </c>
      <c r="BV151" s="8"/>
      <c r="BW151" s="72">
        <f t="shared" si="160"/>
        <v>6.95</v>
      </c>
      <c r="BX151" s="72">
        <f t="shared" si="161"/>
        <v>8.2644827586206908</v>
      </c>
      <c r="BY151" s="72">
        <f t="shared" si="162"/>
        <v>9.73</v>
      </c>
      <c r="BZ151" s="17"/>
      <c r="CA151" s="17"/>
      <c r="CB151" s="43">
        <f t="shared" si="163"/>
        <v>8.1969936300783566</v>
      </c>
      <c r="CC151" s="18">
        <f t="shared" si="164"/>
        <v>8.4806747891284431</v>
      </c>
      <c r="CD151" s="43">
        <f t="shared" si="165"/>
        <v>8.7643559481785296</v>
      </c>
      <c r="CE151" s="98">
        <f t="shared" ca="1" si="166"/>
        <v>1.1256482874676137</v>
      </c>
      <c r="CF151" s="17"/>
      <c r="CG151" s="20">
        <f t="shared" si="167"/>
        <v>4.3699999999999983</v>
      </c>
      <c r="CH151" s="20">
        <f t="shared" si="168"/>
        <v>5.6599999999999993</v>
      </c>
      <c r="CI151" s="20">
        <f t="shared" si="169"/>
        <v>7.1499999999999986</v>
      </c>
      <c r="CJ151" s="49">
        <f t="shared" si="170"/>
        <v>8.44</v>
      </c>
      <c r="CK151" s="20">
        <f t="shared" si="171"/>
        <v>9.93</v>
      </c>
      <c r="CL151" s="20">
        <f t="shared" si="172"/>
        <v>11.219999999999999</v>
      </c>
      <c r="CM151" s="20">
        <f t="shared" si="173"/>
        <v>12.709999999999999</v>
      </c>
      <c r="CN151" s="2" cm="1">
        <f t="array" aca="1" ref="CN151" ca="1">MAX(_xlfn._xlws.FILTER(CG151:CM151,CG151:CM151&lt;BG151))</f>
        <v>8.44</v>
      </c>
      <c r="CO151" s="2" cm="1">
        <f t="array" aca="1" ref="CO151" ca="1">MIN(_xlfn._xlws.FILTER($CG151:$CM151,$CG151:$CM151&gt;BG151))</f>
        <v>9.93</v>
      </c>
      <c r="CP151" s="19">
        <f t="shared" ca="1" si="183"/>
        <v>0.17654028436018954</v>
      </c>
      <c r="CQ151" s="23">
        <f t="shared" ca="1" si="184"/>
        <v>-8.8270142180094768E-2</v>
      </c>
      <c r="CR151" s="23">
        <f t="shared" ca="1" si="185"/>
        <v>-5.8846761453396512E-2</v>
      </c>
      <c r="CS151" s="23">
        <f t="shared" ca="1" si="186"/>
        <v>-3.5308056872037905E-2</v>
      </c>
      <c r="CT151" s="23">
        <f t="shared" ca="1" si="187"/>
        <v>-1.961558715113217E-2</v>
      </c>
      <c r="CU151" s="23">
        <f t="shared" ca="1" si="188"/>
        <v>-1.0384722609422914E-2</v>
      </c>
      <c r="CV151" s="23">
        <f t="shared" ca="1" si="189"/>
        <v>-5.34970558667241E-3</v>
      </c>
      <c r="CW151" s="23">
        <f t="shared" ca="1" si="190"/>
        <v>-2.7160043747721466E-3</v>
      </c>
      <c r="CX151" s="24">
        <f t="shared" ca="1" si="191"/>
        <v>2.7160043747721466E-3</v>
      </c>
      <c r="CY151" s="24">
        <f t="shared" ca="1" si="192"/>
        <v>5.34970558667241E-3</v>
      </c>
      <c r="CZ151" s="24">
        <f t="shared" ca="1" si="193"/>
        <v>1.0384722609422914E-2</v>
      </c>
      <c r="DA151" s="24">
        <f t="shared" ca="1" si="194"/>
        <v>1.961558715113217E-2</v>
      </c>
      <c r="DB151" s="24">
        <f t="shared" ca="1" si="195"/>
        <v>3.5308056872037905E-2</v>
      </c>
      <c r="DC151" s="24">
        <f t="shared" ca="1" si="196"/>
        <v>5.8846761453396512E-2</v>
      </c>
      <c r="DD151" s="24">
        <f t="shared" ca="1" si="197"/>
        <v>8.8270142180094768E-2</v>
      </c>
      <c r="DF151" s="19" cm="1">
        <f t="array" aca="1" ref="DF151" ca="1">MAX(_xlfn._xlws.FILTER(CQ151:DD151,CQ151:DD151&lt;BJ151))</f>
        <v>-3.5308056872037905E-2</v>
      </c>
      <c r="DG151" s="19" cm="1">
        <f t="array" aca="1" ref="DG151" ca="1">MIN(_xlfn._xlws.FILTER(CQ151:DD151,CQ151:DD151&gt;BJ151))</f>
        <v>-1.961558715113217E-2</v>
      </c>
      <c r="DH151" s="2" cm="1">
        <f t="array" aca="1" ref="DH151" ca="1">_FV(EE151,"Fechamento anterior",TRUE)</f>
        <v>9.1</v>
      </c>
      <c r="DI151" s="36">
        <f t="shared" ca="1" si="174"/>
        <v>0.14918135555720091</v>
      </c>
      <c r="DJ151" s="18">
        <f t="shared" ca="1" si="198"/>
        <v>8.7786966824644548</v>
      </c>
      <c r="DK151" s="18">
        <f t="shared" ca="1" si="199"/>
        <v>8.9214981569246969</v>
      </c>
      <c r="DL151" s="9"/>
      <c r="DM151" s="9"/>
      <c r="DN151" s="9"/>
      <c r="DO151" s="9"/>
      <c r="DP151" s="79">
        <v>5.1089870450685675E-3</v>
      </c>
      <c r="DQ151" s="79">
        <v>1.5589490462234564E-2</v>
      </c>
      <c r="DR151" s="79">
        <v>9.3664762492923735E-3</v>
      </c>
      <c r="DS151" s="79">
        <f t="shared" ca="1" si="175"/>
        <v>1.5692469720905735E-2</v>
      </c>
      <c r="DT151" s="47"/>
      <c r="DU151" s="43">
        <f t="shared" si="176"/>
        <v>0.14184057952504309</v>
      </c>
      <c r="DV151" s="83">
        <f t="shared" ca="1" si="177"/>
        <v>1.8059999999999998</v>
      </c>
      <c r="DW151" s="83">
        <f t="shared" ca="1" si="178"/>
        <v>4.6765999999999996</v>
      </c>
      <c r="DX151" s="83">
        <f t="shared" ca="1" si="179"/>
        <v>-2.8705999999999996</v>
      </c>
      <c r="DY151" s="67"/>
      <c r="DZ151" s="67"/>
      <c r="EA151" s="85"/>
      <c r="EB151" s="44">
        <v>2000</v>
      </c>
      <c r="EC151" s="44" cm="1">
        <f t="array" aca="1" ref="EC151" ca="1">_FV(EE151,"Volume")</f>
        <v>5100</v>
      </c>
      <c r="EE151" s="2" t="e" vm="153">
        <v>#VALUE!</v>
      </c>
      <c r="EG151" s="10" cm="1">
        <f t="array" aca="1" ref="EG151" ca="1">_FV(EE151,"Ações em circulação",TRUE)</f>
        <v>10108690000</v>
      </c>
      <c r="EH151" s="21">
        <f>VLOOKUP(BH151,Fundamentus!A:U,5,FALSE)</f>
        <v>0</v>
      </c>
      <c r="EI151" s="2" t="e">
        <f t="shared" ca="1" si="180"/>
        <v>#DIV/0!</v>
      </c>
      <c r="EJ151" s="20" t="e">
        <v>#DIV/0!</v>
      </c>
      <c r="EK151" s="20" t="e">
        <f t="shared" ca="1" si="181"/>
        <v>#DIV/0!</v>
      </c>
      <c r="EM151" s="40" t="str">
        <f>IF(VLOOKUP(BH151,Fundamentus!A:U,3,FALSE)&lt;15,"Bom",IF(VLOOKUP(BH151,Fundamentus!A:U,3,FALSE)&gt;15,"Ruim","n/a"))</f>
        <v>Bom</v>
      </c>
      <c r="EN151" s="36" t="str">
        <f>IF(VLOOKUP(BH151,Fundamentus!A:U,4,FALSE)&lt;1,"Baixo",IF(VLOOKUP(BH151,Fundamentus!A:U,4,FALSE)&lt;1.5,"Moderado",IF(VLOOKUP(BH151,Fundamentus!A:U,4,FALSE)&gt;1.5,"Alto","n/a")))</f>
        <v>Alto</v>
      </c>
      <c r="EO151" s="20" t="str">
        <f>IF(VLOOKUP(BH151,Fundamentus!A:U,8,FALSE)&lt;0,"Risco elevado",IF(VLOOKUP(BH151,Fundamentus!A:U,8,FALSE)&lt;1,"Saudável",IF(VLOOKUP(BH151,Fundamentus!A:U,8,FALSE)&lt;3,"Estável",IF(VLOOKUP(BH151,Fundamentus!A:U,8,FALSE)&gt;3,"Alerta","n/a"))))</f>
        <v>Saudável</v>
      </c>
      <c r="EP151" s="36" t="str">
        <f t="shared" si="182"/>
        <v>Ruim</v>
      </c>
      <c r="EQ151" s="20" t="str">
        <f>IF(VLOOKUP(BH151,Fundamentus!A:U,12,FALSE)&lt;2,"Subvalorizada",IF(VLOOKUP(BH151,Fundamentus!A:U,12,FALSE)&lt;6,"Muita barata",IF(VLOOKUP(BH151,Fundamentus!A:U,12,FALSE)&lt;6,"Barata",IF(VLOOKUP(BH151,Fundamentus!A:U,12,FALSE)&lt;8,"Atrativa",IF(VLOOKUP(BH151,Fundamentus!A:U,12,FALSE)&gt;8,"Supervalorizada","n/a")))))</f>
        <v>Subvalorizada</v>
      </c>
      <c r="ES151" s="20" t="str">
        <f>IF(VLOOKUP(BH151,Fundamentus!A:U,17,FALSE)&lt;0.1,"Fraco retorno",IF(VLOOKUP(BH151,Fundamentus!A:U,17,FALSE)&gt;0.1,"Bom retorno","n/a"))</f>
        <v>Bom retorno</v>
      </c>
      <c r="ET151" s="20" t="str">
        <f>IF(VLOOKUP(BH151,Fundamentus!A:U,16,FALSE)&lt;0.1,"Ineficiente",IF(VLOOKUP(BH151,Fundamentus!A:U,16,FALSE)&gt;0.1,"Eficiente","n/a"))</f>
        <v>Ineficiente</v>
      </c>
      <c r="EU151" s="41" t="str">
        <f>IF(VLOOKUP(BH151,Fundamentus!A:U,16,FALSE)&lt;0.1,"Oper. Ineficiente",IF(VLOOKUP(BH151,Fundamentus!A:U,16,FALSE)&gt;0.1,"Oper.Eficiente","n/a"))</f>
        <v>Oper. Ineficiente</v>
      </c>
      <c r="EV151" s="42">
        <f>VLOOKUP(BH151,Fundamentus!A:U,14,FALSE)</f>
        <v>0</v>
      </c>
      <c r="EW151" s="20" t="str">
        <f>IF(VLOOKUP(BH151,Fundamentus!A:U,21,FALSE)&lt;0,"Negativo",IF(VLOOKUP(BH151,Fundamentus!A:U,21,FALSE)&lt;0.05,"Fraco",IF(VLOOKUP(BH151,Fundamentus!A:U,21,FALSE)&lt;0.1,"Bom",IF(VLOOKUP(BH151,Fundamentus!A:U,21,FALSE)&gt;0.1,"Muito bom","n/a"))))</f>
        <v>Muito bom</v>
      </c>
      <c r="EY151" s="37" t="str">
        <f>IF(VLOOKUP(BH151,Fundamentus!A:U,15,FALSE)&gt;1,"Bom",IF(VLOOKUP(BH151,Fundamentus!A:U,15,FALSE)&lt;1,"Ruim","n/a"))</f>
        <v>Ruim</v>
      </c>
      <c r="EZ151" s="20" t="str">
        <f>IF(VLOOKUP(BH151,Fundamentus!A:U,20,FALSE)&lt;0.5,"Baixa",IF(VLOOKUP(BH151,Fundamentus!A:U,20,FALSE)&lt;1,"Moderada",IF(VLOOKUP(BH151,Fundamentus!A:U,20,FALSE)&lt;2,"Alerta",IF(VLOOKUP(BH151,Fundamentus!A:U,20,FALSE)&gt;2,"Alta","n/a"))))</f>
        <v>Baixa</v>
      </c>
      <c r="FA151" s="10"/>
    </row>
    <row r="152" spans="1:157" s="2" customFormat="1" ht="11.25" hidden="1" x14ac:dyDescent="0.2">
      <c r="A152" s="4">
        <v>24.7</v>
      </c>
      <c r="B152" s="4">
        <v>24.65</v>
      </c>
      <c r="C152" s="4">
        <v>25.8</v>
      </c>
      <c r="D152" s="4">
        <v>25.16</v>
      </c>
      <c r="E152" s="4">
        <v>24.69</v>
      </c>
      <c r="F152" s="4">
        <v>26.24</v>
      </c>
      <c r="G152" s="4">
        <v>25.27</v>
      </c>
      <c r="H152" s="4">
        <v>25.26</v>
      </c>
      <c r="I152" s="4">
        <v>26.59</v>
      </c>
      <c r="J152" s="4">
        <v>26.79</v>
      </c>
      <c r="K152" s="4">
        <v>27.77</v>
      </c>
      <c r="L152" s="4">
        <v>28.41</v>
      </c>
      <c r="M152" s="4">
        <v>28.3</v>
      </c>
      <c r="N152" s="4">
        <v>27.24</v>
      </c>
      <c r="O152" s="4">
        <v>28.87</v>
      </c>
      <c r="P152" s="4">
        <v>29.1</v>
      </c>
      <c r="Q152" s="4">
        <v>29</v>
      </c>
      <c r="R152" s="4">
        <v>28.93</v>
      </c>
      <c r="S152" s="4">
        <v>31</v>
      </c>
      <c r="T152" s="4">
        <v>33.46</v>
      </c>
      <c r="U152" s="4">
        <v>31.87</v>
      </c>
      <c r="V152" s="4">
        <v>30.65</v>
      </c>
      <c r="W152" s="4">
        <v>30.05</v>
      </c>
      <c r="X152" s="4">
        <v>29.05</v>
      </c>
      <c r="Y152" s="4">
        <v>29.92</v>
      </c>
      <c r="Z152" s="4">
        <v>30.71</v>
      </c>
      <c r="AA152" s="4">
        <v>30.65</v>
      </c>
      <c r="AB152" s="4">
        <v>30.48</v>
      </c>
      <c r="AC152" s="4">
        <v>30</v>
      </c>
      <c r="AD152" s="4">
        <v>31.54</v>
      </c>
      <c r="AE152" s="4">
        <v>28.95</v>
      </c>
      <c r="AF152" s="4">
        <v>29.81</v>
      </c>
      <c r="AG152" s="4">
        <v>28.21</v>
      </c>
      <c r="AH152" s="4">
        <v>27.24</v>
      </c>
      <c r="AI152" s="4">
        <v>26.88</v>
      </c>
      <c r="AJ152" s="4">
        <v>26.56</v>
      </c>
      <c r="AK152" s="4">
        <v>24.15</v>
      </c>
      <c r="AL152" s="4">
        <v>25.31</v>
      </c>
      <c r="AM152" s="4">
        <v>26.76</v>
      </c>
      <c r="AN152" s="4">
        <v>28.78</v>
      </c>
      <c r="AO152" s="4">
        <v>29.73</v>
      </c>
      <c r="AP152" s="4">
        <v>31.16</v>
      </c>
      <c r="AQ152" s="4">
        <v>32.4</v>
      </c>
      <c r="AR152" s="4">
        <v>29.35</v>
      </c>
      <c r="AS152" s="4">
        <v>30.42</v>
      </c>
      <c r="AT152" s="4">
        <v>30</v>
      </c>
      <c r="AU152" s="4">
        <v>31.6</v>
      </c>
      <c r="AV152" s="4">
        <v>31.8</v>
      </c>
      <c r="AW152" s="4">
        <v>32.4</v>
      </c>
      <c r="AX152" s="4">
        <v>32.299999999999997</v>
      </c>
      <c r="AY152" s="12">
        <v>34.32</v>
      </c>
      <c r="AZ152" s="12">
        <v>35.869999999999997</v>
      </c>
      <c r="BA152" s="12">
        <v>36.35</v>
      </c>
      <c r="BB152" s="18">
        <v>37.97</v>
      </c>
      <c r="BC152" s="63">
        <v>38.15</v>
      </c>
      <c r="BD152" s="63">
        <v>39.479999999999997</v>
      </c>
      <c r="BE152" s="63">
        <v>40.659999999999997</v>
      </c>
      <c r="BF152" s="63">
        <v>40.71</v>
      </c>
      <c r="BG152" s="91" cm="1">
        <f t="array" aca="1" ref="BG152" ca="1">_FV(EE152,"Preço")</f>
        <v>39.46</v>
      </c>
      <c r="BH152" s="93" t="s">
        <v>120</v>
      </c>
      <c r="BI152" s="32" cm="1">
        <f t="array" aca="1" ref="BI152" ca="1">_FV(EE152,"Beta")</f>
        <v>1.006</v>
      </c>
      <c r="BJ152" s="96" cm="1">
        <f t="array" aca="1" ref="BJ152" ca="1">_FV(EE152,"Variação (%)",TRUE)</f>
        <v>-3.2131E-2</v>
      </c>
      <c r="BK152" s="49"/>
      <c r="BL152" s="49"/>
      <c r="BN152" s="32"/>
      <c r="BO152" s="20" cm="1">
        <f t="array" aca="1" ref="BO152" ca="1">_FV(EE152,"Baixo")</f>
        <v>39.31</v>
      </c>
      <c r="BP152" s="20" cm="1">
        <f t="array" aca="1" ref="BP152" ca="1">_FV(EE152,"Alto")</f>
        <v>40.520000000000003</v>
      </c>
      <c r="BQ152" s="32"/>
      <c r="BR152" s="74">
        <f ca="1">SQRT(22.5*(BG152/VLOOKUP(BH152,Fundamentus!A:U,3,FALSE))*(BG152/VLOOKUP(BH152,Fundamentus!A:U,4,FALSE)))</f>
        <v>30.598444543072521</v>
      </c>
      <c r="BT152" s="73">
        <f t="shared" ca="1" si="158"/>
        <v>-3.0704986489805942E-2</v>
      </c>
      <c r="BU152" s="36">
        <f t="shared" si="159"/>
        <v>0.64615384615384608</v>
      </c>
      <c r="BV152" s="8"/>
      <c r="BW152" s="72">
        <f t="shared" si="160"/>
        <v>24.15</v>
      </c>
      <c r="BX152" s="72">
        <f t="shared" si="161"/>
        <v>29.990862068965512</v>
      </c>
      <c r="BY152" s="72">
        <f t="shared" si="162"/>
        <v>40.71</v>
      </c>
      <c r="BZ152" s="17"/>
      <c r="CA152" s="17"/>
      <c r="CB152" s="43">
        <f t="shared" si="163"/>
        <v>39.826458997912106</v>
      </c>
      <c r="CC152" s="18">
        <f t="shared" si="164"/>
        <v>41.919925023430551</v>
      </c>
      <c r="CD152" s="43">
        <f t="shared" si="165"/>
        <v>44.013391048948996</v>
      </c>
      <c r="CE152" s="98">
        <f t="shared" ca="1" si="166"/>
        <v>-1.1750489348502091</v>
      </c>
      <c r="CF152" s="17"/>
      <c r="CG152" s="20">
        <f t="shared" si="167"/>
        <v>13.109999999999992</v>
      </c>
      <c r="CH152" s="20">
        <f t="shared" si="168"/>
        <v>18.629999999999995</v>
      </c>
      <c r="CI152" s="20">
        <f t="shared" si="169"/>
        <v>29.669999999999995</v>
      </c>
      <c r="CJ152" s="49">
        <f t="shared" si="170"/>
        <v>35.19</v>
      </c>
      <c r="CK152" s="20">
        <f t="shared" si="171"/>
        <v>46.23</v>
      </c>
      <c r="CL152" s="20">
        <f t="shared" si="172"/>
        <v>51.75</v>
      </c>
      <c r="CM152" s="20">
        <f t="shared" si="173"/>
        <v>62.79</v>
      </c>
      <c r="CN152" s="2" cm="1">
        <f t="array" aca="1" ref="CN152" ca="1">MAX(_xlfn._xlws.FILTER(CG152:CM152,CG152:CM152&lt;BG152))</f>
        <v>35.19</v>
      </c>
      <c r="CO152" s="2" cm="1">
        <f t="array" aca="1" ref="CO152" ca="1">MIN(_xlfn._xlws.FILTER($CG152:$CM152,$CG152:$CM152&gt;BG152))</f>
        <v>46.23</v>
      </c>
      <c r="CP152" s="19">
        <f t="shared" ca="1" si="183"/>
        <v>0.31372549019607843</v>
      </c>
      <c r="CQ152" s="23">
        <f t="shared" ca="1" si="184"/>
        <v>-0.15686274509803921</v>
      </c>
      <c r="CR152" s="23">
        <f t="shared" ca="1" si="185"/>
        <v>-0.10457516339869281</v>
      </c>
      <c r="CS152" s="23">
        <f t="shared" ca="1" si="186"/>
        <v>-6.2745098039215685E-2</v>
      </c>
      <c r="CT152" s="23">
        <f t="shared" ca="1" si="187"/>
        <v>-3.4858387799564267E-2</v>
      </c>
      <c r="CU152" s="23">
        <f t="shared" ca="1" si="188"/>
        <v>-1.845444059976932E-2</v>
      </c>
      <c r="CV152" s="23">
        <f t="shared" ca="1" si="189"/>
        <v>-9.5068330362448016E-3</v>
      </c>
      <c r="CW152" s="23">
        <f t="shared" ca="1" si="190"/>
        <v>-4.8265460030165915E-3</v>
      </c>
      <c r="CX152" s="24">
        <f t="shared" ca="1" si="191"/>
        <v>4.8265460030165915E-3</v>
      </c>
      <c r="CY152" s="24">
        <f t="shared" ca="1" si="192"/>
        <v>9.5068330362448016E-3</v>
      </c>
      <c r="CZ152" s="24">
        <f t="shared" ca="1" si="193"/>
        <v>1.845444059976932E-2</v>
      </c>
      <c r="DA152" s="24">
        <f t="shared" ca="1" si="194"/>
        <v>3.4858387799564267E-2</v>
      </c>
      <c r="DB152" s="24">
        <f t="shared" ca="1" si="195"/>
        <v>6.2745098039215685E-2</v>
      </c>
      <c r="DC152" s="24">
        <f t="shared" ca="1" si="196"/>
        <v>0.10457516339869281</v>
      </c>
      <c r="DD152" s="24">
        <f t="shared" ca="1" si="197"/>
        <v>0.15686274509803921</v>
      </c>
      <c r="DF152" s="19" cm="1">
        <f t="array" aca="1" ref="DF152" ca="1">MAX(_xlfn._xlws.FILTER(CQ152:DD152,CQ152:DD152&lt;BJ152))</f>
        <v>-3.4858387799564267E-2</v>
      </c>
      <c r="DG152" s="19" cm="1">
        <f t="array" aca="1" ref="DG152" ca="1">MIN(_xlfn._xlws.FILTER(CQ152:DD152,CQ152:DD152&gt;BJ152))</f>
        <v>-1.845444059976932E-2</v>
      </c>
      <c r="DH152" s="2" cm="1">
        <f t="array" aca="1" ref="DH152" ca="1">_FV(EE152,"Fechamento anterior",TRUE)</f>
        <v>40.770000000000003</v>
      </c>
      <c r="DI152" s="36">
        <f t="shared" ca="1" si="174"/>
        <v>0.16623551324503058</v>
      </c>
      <c r="DJ152" s="18">
        <f t="shared" ca="1" si="198"/>
        <v>39.348823529411767</v>
      </c>
      <c r="DK152" s="18">
        <f t="shared" ca="1" si="199"/>
        <v>40.017612456747408</v>
      </c>
      <c r="DL152" s="9"/>
      <c r="DM152" s="9"/>
      <c r="DN152" s="9"/>
      <c r="DO152" s="9"/>
      <c r="DP152" s="80">
        <v>7.7093815906918717E-3</v>
      </c>
      <c r="DQ152" s="80">
        <v>4.5453779900622307E-3</v>
      </c>
      <c r="DR152" s="80">
        <v>1.5965187362404726E-2</v>
      </c>
      <c r="DS152" s="80">
        <f t="shared" ca="1" si="175"/>
        <v>1.6403947199794947E-2</v>
      </c>
      <c r="DT152" s="47"/>
      <c r="DU152" s="43">
        <f t="shared" si="176"/>
        <v>1.0467330127592234</v>
      </c>
      <c r="DV152" s="83">
        <f t="shared" ca="1" si="177"/>
        <v>1.4320999999999999</v>
      </c>
      <c r="DW152" s="83">
        <f t="shared" ca="1" si="178"/>
        <v>4.2191000000000001</v>
      </c>
      <c r="DX152" s="83">
        <f t="shared" ca="1" si="179"/>
        <v>-2.7869999999999999</v>
      </c>
      <c r="DY152" s="67"/>
      <c r="DZ152" s="67"/>
      <c r="EA152" s="85"/>
      <c r="EB152" s="44">
        <v>2030000</v>
      </c>
      <c r="EC152" s="44" cm="1">
        <f t="array" aca="1" ref="EC152" ca="1">_FV(EE152,"Volume")</f>
        <v>1306800</v>
      </c>
      <c r="EE152" s="2" t="e" vm="154">
        <v>#VALUE!</v>
      </c>
      <c r="EG152" s="10" cm="1">
        <f t="array" aca="1" ref="EG152" ca="1">_FV(EE152,"Ações em circulação",TRUE)</f>
        <v>173500000</v>
      </c>
      <c r="EH152" s="21">
        <f>VLOOKUP(BH152,Fundamentus!A:U,5,FALSE)</f>
        <v>2.04</v>
      </c>
      <c r="EI152" s="2">
        <f t="shared" ca="1" si="180"/>
        <v>3356034313.7254901</v>
      </c>
      <c r="EJ152" s="20">
        <v>726746338.97058821</v>
      </c>
      <c r="EK152" s="20">
        <f t="shared" ca="1" si="181"/>
        <v>704431602.45098042</v>
      </c>
      <c r="EM152" s="40" t="str">
        <f>IF(VLOOKUP(BH152,Fundamentus!A:U,3,FALSE)&lt;15,"Bom",IF(VLOOKUP(BH152,Fundamentus!A:U,3,FALSE)&gt;15,"Ruim","n/a"))</f>
        <v>Bom</v>
      </c>
      <c r="EN152" s="36" t="str">
        <f>IF(VLOOKUP(BH152,Fundamentus!A:U,4,FALSE)&lt;1,"Baixo",IF(VLOOKUP(BH152,Fundamentus!A:U,4,FALSE)&lt;1.5,"Moderado",IF(VLOOKUP(BH152,Fundamentus!A:U,4,FALSE)&gt;1.5,"Alto","n/a")))</f>
        <v>Alto</v>
      </c>
      <c r="EO152" s="20" t="str">
        <f>IF(VLOOKUP(BH152,Fundamentus!A:U,8,FALSE)&lt;0,"Risco elevado",IF(VLOOKUP(BH152,Fundamentus!A:U,8,FALSE)&lt;1,"Saudável",IF(VLOOKUP(BH152,Fundamentus!A:U,8,FALSE)&lt;3,"Estável",IF(VLOOKUP(BH152,Fundamentus!A:U,8,FALSE)&gt;3,"Alerta","n/a"))))</f>
        <v>Estável</v>
      </c>
      <c r="EP152" s="36" t="str">
        <f t="shared" si="182"/>
        <v>Bom</v>
      </c>
      <c r="EQ152" s="20" t="str">
        <f>IF(VLOOKUP(BH152,Fundamentus!A:U,12,FALSE)&lt;2,"Subvalorizada",IF(VLOOKUP(BH152,Fundamentus!A:U,12,FALSE)&lt;6,"Muita barata",IF(VLOOKUP(BH152,Fundamentus!A:U,12,FALSE)&lt;6,"Barata",IF(VLOOKUP(BH152,Fundamentus!A:U,12,FALSE)&lt;8,"Atrativa",IF(VLOOKUP(BH152,Fundamentus!A:U,12,FALSE)&gt;8,"Supervalorizada","n/a")))))</f>
        <v>Supervalorizada</v>
      </c>
      <c r="ES152" s="20" t="str">
        <f>IF(VLOOKUP(BH152,Fundamentus!A:U,17,FALSE)&lt;0.1,"Fraco retorno",IF(VLOOKUP(BH152,Fundamentus!A:U,17,FALSE)&gt;0.1,"Bom retorno","n/a"))</f>
        <v>Bom retorno</v>
      </c>
      <c r="ET152" s="20" t="str">
        <f>IF(VLOOKUP(BH152,Fundamentus!A:U,16,FALSE)&lt;0.1,"Ineficiente",IF(VLOOKUP(BH152,Fundamentus!A:U,16,FALSE)&gt;0.1,"Eficiente","n/a"))</f>
        <v>Ineficiente</v>
      </c>
      <c r="EU152" s="41" t="str">
        <f>IF(VLOOKUP(BH152,Fundamentus!A:U,16,FALSE)&lt;0.1,"Oper. Ineficiente",IF(VLOOKUP(BH152,Fundamentus!A:U,16,FALSE)&gt;0.1,"Oper.Eficiente","n/a"))</f>
        <v>Oper. Ineficiente</v>
      </c>
      <c r="EV152" s="42">
        <f>VLOOKUP(BH152,Fundamentus!A:U,14,FALSE)</f>
        <v>0.2099</v>
      </c>
      <c r="EW152" s="20" t="str">
        <f>IF(VLOOKUP(BH152,Fundamentus!A:U,21,FALSE)&lt;0,"Negativo",IF(VLOOKUP(BH152,Fundamentus!A:U,21,FALSE)&lt;0.05,"Fraco",IF(VLOOKUP(BH152,Fundamentus!A:U,21,FALSE)&lt;0.1,"Bom",IF(VLOOKUP(BH152,Fundamentus!A:U,21,FALSE)&gt;0.1,"Muito bom","n/a"))))</f>
        <v>Muito bom</v>
      </c>
      <c r="EY152" s="37" t="str">
        <f>IF(VLOOKUP(BH152,Fundamentus!A:U,15,FALSE)&gt;1,"Bom",IF(VLOOKUP(BH152,Fundamentus!A:U,15,FALSE)&lt;1,"Ruim","n/a"))</f>
        <v>Bom</v>
      </c>
      <c r="EZ152" s="20" t="str">
        <f>IF(VLOOKUP(BH152,Fundamentus!A:U,20,FALSE)&lt;0.5,"Baixa",IF(VLOOKUP(BH152,Fundamentus!A:U,20,FALSE)&lt;1,"Moderada",IF(VLOOKUP(BH152,Fundamentus!A:U,20,FALSE)&lt;2,"Alerta",IF(VLOOKUP(BH152,Fundamentus!A:U,20,FALSE)&gt;2,"Alta","n/a"))))</f>
        <v>Moderada</v>
      </c>
      <c r="FA152" s="10">
        <v>2</v>
      </c>
    </row>
    <row r="153" spans="1:157" s="2" customFormat="1" ht="11.25" hidden="1" x14ac:dyDescent="0.2">
      <c r="A153" s="4">
        <v>13.02</v>
      </c>
      <c r="B153" s="4">
        <v>12.81</v>
      </c>
      <c r="C153" s="4">
        <v>11.57</v>
      </c>
      <c r="D153" s="4">
        <v>11.21</v>
      </c>
      <c r="E153" s="4">
        <v>10.72</v>
      </c>
      <c r="F153" s="4">
        <v>10.75</v>
      </c>
      <c r="G153" s="4">
        <v>10.71</v>
      </c>
      <c r="H153" s="4">
        <v>11.43</v>
      </c>
      <c r="I153" s="4">
        <v>11.87</v>
      </c>
      <c r="J153" s="4">
        <v>11.97</v>
      </c>
      <c r="K153" s="4">
        <v>11.84</v>
      </c>
      <c r="L153" s="4">
        <v>11.88</v>
      </c>
      <c r="M153" s="4">
        <v>12.25</v>
      </c>
      <c r="N153" s="4">
        <v>12.04</v>
      </c>
      <c r="O153" s="4">
        <v>11.67</v>
      </c>
      <c r="P153" s="4">
        <v>11.69</v>
      </c>
      <c r="Q153" s="4">
        <v>11.7</v>
      </c>
      <c r="R153" s="4">
        <v>11.57</v>
      </c>
      <c r="S153" s="4">
        <v>11.55</v>
      </c>
      <c r="T153" s="4">
        <v>11.47</v>
      </c>
      <c r="U153" s="4">
        <v>11.25</v>
      </c>
      <c r="V153" s="4">
        <v>11.11</v>
      </c>
      <c r="W153" s="4">
        <v>10.51</v>
      </c>
      <c r="X153" s="4">
        <v>10.29</v>
      </c>
      <c r="Y153" s="4">
        <v>10.16</v>
      </c>
      <c r="Z153" s="4">
        <v>10.06</v>
      </c>
      <c r="AA153" s="4">
        <v>9.93</v>
      </c>
      <c r="AB153" s="4">
        <v>11.55</v>
      </c>
      <c r="AC153" s="4">
        <v>11.63</v>
      </c>
      <c r="AD153" s="4">
        <v>11.52</v>
      </c>
      <c r="AE153" s="4">
        <v>11.73</v>
      </c>
      <c r="AF153" s="4">
        <v>12.44</v>
      </c>
      <c r="AG153" s="4">
        <v>11.85</v>
      </c>
      <c r="AH153" s="4">
        <v>11.57</v>
      </c>
      <c r="AI153" s="4">
        <v>11.41</v>
      </c>
      <c r="AJ153" s="4">
        <v>11.08</v>
      </c>
      <c r="AK153" s="4">
        <v>12.45</v>
      </c>
      <c r="AL153" s="4">
        <v>13.53</v>
      </c>
      <c r="AM153" s="4">
        <v>13.42</v>
      </c>
      <c r="AN153" s="4">
        <v>13.6</v>
      </c>
      <c r="AO153" s="4">
        <v>13.24</v>
      </c>
      <c r="AP153" s="4">
        <v>13.3</v>
      </c>
      <c r="AQ153" s="4">
        <v>13.18</v>
      </c>
      <c r="AR153" s="4">
        <v>12.74</v>
      </c>
      <c r="AS153" s="4">
        <v>13.16</v>
      </c>
      <c r="AT153" s="4">
        <v>13.63</v>
      </c>
      <c r="AU153" s="4">
        <v>12.93</v>
      </c>
      <c r="AV153" s="4">
        <v>11.75</v>
      </c>
      <c r="AW153" s="4">
        <v>11.79</v>
      </c>
      <c r="AX153" s="4">
        <v>10.9</v>
      </c>
      <c r="AY153" s="12">
        <v>11.37</v>
      </c>
      <c r="AZ153" s="12">
        <v>12.63</v>
      </c>
      <c r="BA153" s="12">
        <v>12.32</v>
      </c>
      <c r="BB153" s="18">
        <v>12.06</v>
      </c>
      <c r="BC153" s="63">
        <v>12.36</v>
      </c>
      <c r="BD153" s="63">
        <v>12.04</v>
      </c>
      <c r="BE153" s="63">
        <v>12.15</v>
      </c>
      <c r="BF153" s="63">
        <v>12.59</v>
      </c>
      <c r="BG153" s="91" cm="1">
        <f t="array" aca="1" ref="BG153" ca="1">_FV(EE153,"Preço")</f>
        <v>13.1</v>
      </c>
      <c r="BH153" s="93" t="s">
        <v>150</v>
      </c>
      <c r="BI153" s="32" cm="1">
        <f t="array" aca="1" ref="BI153" ca="1">_FV(EE153,"Beta")</f>
        <v>0.39439999999999997</v>
      </c>
      <c r="BJ153" s="96" cm="1">
        <f t="array" aca="1" ref="BJ153" ca="1">_FV(EE153,"Variação (%)",TRUE)</f>
        <v>-1.2065999999999999E-2</v>
      </c>
      <c r="BK153" s="49"/>
      <c r="BL153" s="49"/>
      <c r="BN153" s="32"/>
      <c r="BO153" s="20" cm="1">
        <f t="array" aca="1" ref="BO153" ca="1">_FV(EE153,"Baixo")</f>
        <v>12.83</v>
      </c>
      <c r="BP153" s="20" cm="1">
        <f t="array" aca="1" ref="BP153" ca="1">_FV(EE153,"Alto")</f>
        <v>13.26</v>
      </c>
      <c r="BQ153" s="32"/>
      <c r="BR153" s="74">
        <f ca="1">SQRT(22.5*(BG153/VLOOKUP(BH153,Fundamentus!A:U,3,FALSE))*(BG153/VLOOKUP(BH153,Fundamentus!A:U,4,FALSE)))</f>
        <v>31.716246331492417</v>
      </c>
      <c r="BT153" s="73">
        <f t="shared" ca="1" si="158"/>
        <v>4.0508339952343111E-2</v>
      </c>
      <c r="BU153" s="36">
        <f t="shared" si="159"/>
        <v>-6.6820276497695799E-2</v>
      </c>
      <c r="BV153" s="8"/>
      <c r="BW153" s="72">
        <f t="shared" si="160"/>
        <v>9.93</v>
      </c>
      <c r="BX153" s="72">
        <f t="shared" si="161"/>
        <v>11.878448275862068</v>
      </c>
      <c r="BY153" s="72">
        <f t="shared" si="162"/>
        <v>13.63</v>
      </c>
      <c r="BZ153" s="17"/>
      <c r="CA153" s="17"/>
      <c r="CB153" s="43">
        <f t="shared" si="163"/>
        <v>12.045731331182473</v>
      </c>
      <c r="CC153" s="18">
        <f t="shared" si="164"/>
        <v>12.466326148078736</v>
      </c>
      <c r="CD153" s="43">
        <f t="shared" si="165"/>
        <v>12.886920964974998</v>
      </c>
      <c r="CE153" s="98">
        <f t="shared" ca="1" si="166"/>
        <v>1.5066135541027295</v>
      </c>
      <c r="CF153" s="17"/>
      <c r="CG153" s="20">
        <f t="shared" si="167"/>
        <v>6.7700000000000031</v>
      </c>
      <c r="CH153" s="20">
        <f t="shared" si="168"/>
        <v>8.3500000000000014</v>
      </c>
      <c r="CI153" s="20">
        <f t="shared" si="169"/>
        <v>10.470000000000004</v>
      </c>
      <c r="CJ153" s="49">
        <f t="shared" si="170"/>
        <v>12.050000000000002</v>
      </c>
      <c r="CK153" s="20">
        <f t="shared" si="171"/>
        <v>14.170000000000005</v>
      </c>
      <c r="CL153" s="20">
        <f t="shared" si="172"/>
        <v>15.750000000000004</v>
      </c>
      <c r="CM153" s="20">
        <f t="shared" si="173"/>
        <v>17.870000000000005</v>
      </c>
      <c r="CN153" s="2" cm="1">
        <f t="array" aca="1" ref="CN153" ca="1">MAX(_xlfn._xlws.FILTER(CG153:CM153,CG153:CM153&lt;BG153))</f>
        <v>12.050000000000002</v>
      </c>
      <c r="CO153" s="2" cm="1">
        <f t="array" aca="1" ref="CO153" ca="1">MIN(_xlfn._xlws.FILTER($CG153:$CM153,$CG153:$CM153&gt;BG153))</f>
        <v>14.170000000000005</v>
      </c>
      <c r="CP153" s="19">
        <f t="shared" ca="1" si="183"/>
        <v>0.17593360995850649</v>
      </c>
      <c r="CQ153" s="23">
        <f t="shared" ca="1" si="184"/>
        <v>-8.7966804979253244E-2</v>
      </c>
      <c r="CR153" s="23">
        <f t="shared" ca="1" si="185"/>
        <v>-5.8644536652835498E-2</v>
      </c>
      <c r="CS153" s="23">
        <f t="shared" ca="1" si="186"/>
        <v>-3.5186721991701295E-2</v>
      </c>
      <c r="CT153" s="23">
        <f t="shared" ca="1" si="187"/>
        <v>-1.9548178884278497E-2</v>
      </c>
      <c r="CU153" s="23">
        <f t="shared" ca="1" si="188"/>
        <v>-1.0349035879912146E-2</v>
      </c>
      <c r="CV153" s="23">
        <f t="shared" ca="1" si="189"/>
        <v>-5.3313215138941356E-3</v>
      </c>
      <c r="CW153" s="23">
        <f t="shared" ca="1" si="190"/>
        <v>-2.7066709224385613E-3</v>
      </c>
      <c r="CX153" s="24">
        <f t="shared" ca="1" si="191"/>
        <v>2.7066709224385613E-3</v>
      </c>
      <c r="CY153" s="24">
        <f t="shared" ca="1" si="192"/>
        <v>5.3313215138941356E-3</v>
      </c>
      <c r="CZ153" s="24">
        <f t="shared" ca="1" si="193"/>
        <v>1.0349035879912146E-2</v>
      </c>
      <c r="DA153" s="24">
        <f t="shared" ca="1" si="194"/>
        <v>1.9548178884278497E-2</v>
      </c>
      <c r="DB153" s="24">
        <f t="shared" ca="1" si="195"/>
        <v>3.5186721991701295E-2</v>
      </c>
      <c r="DC153" s="24">
        <f t="shared" ca="1" si="196"/>
        <v>5.8644536652835498E-2</v>
      </c>
      <c r="DD153" s="24">
        <f t="shared" ca="1" si="197"/>
        <v>8.7966804979253244E-2</v>
      </c>
      <c r="DF153" s="19" cm="1">
        <f t="array" aca="1" ref="DF153" ca="1">MAX(_xlfn._xlws.FILTER(CQ153:DD153,CQ153:DD153&lt;BJ153))</f>
        <v>-1.9548178884278497E-2</v>
      </c>
      <c r="DG153" s="19" cm="1">
        <f t="array" aca="1" ref="DG153" ca="1">MIN(_xlfn._xlws.FILTER(CQ153:DD153,CQ153:DD153&gt;BJ153))</f>
        <v>-1.0349035879912146E-2</v>
      </c>
      <c r="DH153" s="2" cm="1">
        <f t="array" aca="1" ref="DH153" ca="1">_FV(EE153,"Fechamento anterior",TRUE)</f>
        <v>13.26</v>
      </c>
      <c r="DI153" s="36">
        <f t="shared" ca="1" si="174"/>
        <v>0.81331640058055199</v>
      </c>
      <c r="DJ153" s="18">
        <f t="shared" ca="1" si="198"/>
        <v>13.000791147994468</v>
      </c>
      <c r="DK153" s="18">
        <f t="shared" ca="1" si="199"/>
        <v>13.122771784232365</v>
      </c>
      <c r="DL153" s="9"/>
      <c r="DM153" s="9"/>
      <c r="DN153" s="9"/>
      <c r="DO153" s="9"/>
      <c r="DP153" s="79">
        <v>5.2939909499263695E-3</v>
      </c>
      <c r="DQ153" s="79">
        <v>1.1872051785283902E-2</v>
      </c>
      <c r="DR153" s="79">
        <v>5.2939909499263695E-3</v>
      </c>
      <c r="DS153" s="79">
        <f t="shared" ca="1" si="175"/>
        <v>9.1991430043663509E-3</v>
      </c>
      <c r="DT153" s="47"/>
      <c r="DU153" s="43">
        <f t="shared" si="176"/>
        <v>0.210297408448131</v>
      </c>
      <c r="DV153" s="83">
        <f t="shared" ca="1" si="177"/>
        <v>0.82050000000000001</v>
      </c>
      <c r="DW153" s="83">
        <f t="shared" ca="1" si="178"/>
        <v>1.601</v>
      </c>
      <c r="DX153" s="83">
        <f t="shared" ca="1" si="179"/>
        <v>-0.78049999999999997</v>
      </c>
      <c r="DY153" s="67"/>
      <c r="DZ153" s="67"/>
      <c r="EA153" s="85"/>
      <c r="EB153" s="44">
        <v>3599700</v>
      </c>
      <c r="EC153" s="44" cm="1">
        <f t="array" aca="1" ref="EC153" ca="1">_FV(EE153,"Volume")</f>
        <v>843800</v>
      </c>
      <c r="EE153" s="2" t="e" vm="155">
        <v>#VALUE!</v>
      </c>
      <c r="EG153" s="10" cm="1">
        <f t="array" aca="1" ref="EG153" ca="1">_FV(EE153,"Ações em circulação",TRUE)</f>
        <v>153719600</v>
      </c>
      <c r="EH153" s="21">
        <f>VLOOKUP(BH153,Fundamentus!A:U,5,FALSE)</f>
        <v>0.123</v>
      </c>
      <c r="EI153" s="2">
        <f t="shared" ca="1" si="180"/>
        <v>16371762276.422764</v>
      </c>
      <c r="EJ153" s="20">
        <v>335142471.32682925</v>
      </c>
      <c r="EK153" s="20">
        <f t="shared" ca="1" si="181"/>
        <v>348718536.48780489</v>
      </c>
      <c r="EM153" s="40" t="str">
        <f>IF(VLOOKUP(BH153,Fundamentus!A:U,3,FALSE)&lt;15,"Bom",IF(VLOOKUP(BH153,Fundamentus!A:U,3,FALSE)&gt;15,"Ruim","n/a"))</f>
        <v>Bom</v>
      </c>
      <c r="EN153" s="36" t="str">
        <f>IF(VLOOKUP(BH153,Fundamentus!A:U,4,FALSE)&lt;1,"Baixo",IF(VLOOKUP(BH153,Fundamentus!A:U,4,FALSE)&lt;1.5,"Moderado",IF(VLOOKUP(BH153,Fundamentus!A:U,4,FALSE)&gt;1.5,"Alto","n/a")))</f>
        <v>Baixo</v>
      </c>
      <c r="EO153" s="20" t="str">
        <f>IF(VLOOKUP(BH153,Fundamentus!A:U,8,FALSE)&lt;0,"Risco elevado",IF(VLOOKUP(BH153,Fundamentus!A:U,8,FALSE)&lt;1,"Saudável",IF(VLOOKUP(BH153,Fundamentus!A:U,8,FALSE)&lt;3,"Estável",IF(VLOOKUP(BH153,Fundamentus!A:U,8,FALSE)&gt;3,"Alerta","n/a"))))</f>
        <v>Saudável</v>
      </c>
      <c r="EP153" s="36" t="str">
        <f t="shared" si="182"/>
        <v>Ruim</v>
      </c>
      <c r="EQ153" s="20" t="str">
        <f>IF(VLOOKUP(BH153,Fundamentus!A:U,12,FALSE)&lt;2,"Subvalorizada",IF(VLOOKUP(BH153,Fundamentus!A:U,12,FALSE)&lt;6,"Muita barata",IF(VLOOKUP(BH153,Fundamentus!A:U,12,FALSE)&lt;6,"Barata",IF(VLOOKUP(BH153,Fundamentus!A:U,12,FALSE)&lt;8,"Atrativa",IF(VLOOKUP(BH153,Fundamentus!A:U,12,FALSE)&gt;8,"Supervalorizada","n/a")))))</f>
        <v>Muita barata</v>
      </c>
      <c r="ES153" s="20" t="str">
        <f>IF(VLOOKUP(BH153,Fundamentus!A:U,17,FALSE)&lt;0.1,"Fraco retorno",IF(VLOOKUP(BH153,Fundamentus!A:U,17,FALSE)&gt;0.1,"Bom retorno","n/a"))</f>
        <v>Fraco retorno</v>
      </c>
      <c r="ET153" s="20" t="str">
        <f>IF(VLOOKUP(BH153,Fundamentus!A:U,16,FALSE)&lt;0.1,"Ineficiente",IF(VLOOKUP(BH153,Fundamentus!A:U,16,FALSE)&gt;0.1,"Eficiente","n/a"))</f>
        <v>Ineficiente</v>
      </c>
      <c r="EU153" s="41" t="str">
        <f>IF(VLOOKUP(BH153,Fundamentus!A:U,16,FALSE)&lt;0.1,"Oper. Ineficiente",IF(VLOOKUP(BH153,Fundamentus!A:U,16,FALSE)&gt;0.1,"Oper.Eficiente","n/a"))</f>
        <v>Oper. Ineficiente</v>
      </c>
      <c r="EV153" s="42">
        <f>VLOOKUP(BH153,Fundamentus!A:U,14,FALSE)</f>
        <v>2.1299999999999999E-2</v>
      </c>
      <c r="EW153" s="20" t="str">
        <f>IF(VLOOKUP(BH153,Fundamentus!A:U,21,FALSE)&lt;0,"Negativo",IF(VLOOKUP(BH153,Fundamentus!A:U,21,FALSE)&lt;0.05,"Fraco",IF(VLOOKUP(BH153,Fundamentus!A:U,21,FALSE)&lt;0.1,"Bom",IF(VLOOKUP(BH153,Fundamentus!A:U,21,FALSE)&gt;0.1,"Muito bom","n/a"))))</f>
        <v>Bom</v>
      </c>
      <c r="EY153" s="37" t="str">
        <f>IF(VLOOKUP(BH153,Fundamentus!A:U,15,FALSE)&gt;1,"Bom",IF(VLOOKUP(BH153,Fundamentus!A:U,15,FALSE)&lt;1,"Ruim","n/a"))</f>
        <v>Bom</v>
      </c>
      <c r="EZ153" s="20" t="str">
        <f>IF(VLOOKUP(BH153,Fundamentus!A:U,20,FALSE)&lt;0.5,"Baixa",IF(VLOOKUP(BH153,Fundamentus!A:U,20,FALSE)&lt;1,"Moderada",IF(VLOOKUP(BH153,Fundamentus!A:U,20,FALSE)&lt;2,"Alerta",IF(VLOOKUP(BH153,Fundamentus!A:U,20,FALSE)&gt;2,"Alta","n/a"))))</f>
        <v>Alerta</v>
      </c>
      <c r="FA153" s="10"/>
    </row>
    <row r="154" spans="1:157" s="2" customFormat="1" ht="11.25" hidden="1" x14ac:dyDescent="0.2">
      <c r="A154" s="4">
        <v>26.82</v>
      </c>
      <c r="B154" s="4">
        <v>30.27</v>
      </c>
      <c r="C154" s="4">
        <v>31.1</v>
      </c>
      <c r="D154" s="4">
        <v>29</v>
      </c>
      <c r="E154" s="4">
        <v>27.3</v>
      </c>
      <c r="F154" s="4">
        <v>26.91</v>
      </c>
      <c r="G154" s="4">
        <v>26.93</v>
      </c>
      <c r="H154" s="4">
        <v>26.35</v>
      </c>
      <c r="I154" s="4">
        <v>27.01</v>
      </c>
      <c r="J154" s="4">
        <v>27.7</v>
      </c>
      <c r="K154" s="4">
        <v>28.94</v>
      </c>
      <c r="L154" s="4">
        <v>28.1</v>
      </c>
      <c r="M154" s="4">
        <v>28.08</v>
      </c>
      <c r="N154" s="4">
        <v>27.98</v>
      </c>
      <c r="O154" s="4">
        <v>29.68</v>
      </c>
      <c r="P154" s="4">
        <v>31.76</v>
      </c>
      <c r="Q154" s="4">
        <v>33.57</v>
      </c>
      <c r="R154" s="4">
        <v>31.93</v>
      </c>
      <c r="S154" s="4">
        <v>33.35</v>
      </c>
      <c r="T154" s="4">
        <v>34.76</v>
      </c>
      <c r="U154" s="4">
        <v>32.58</v>
      </c>
      <c r="V154" s="4">
        <v>31.51</v>
      </c>
      <c r="W154" s="4">
        <v>30.56</v>
      </c>
      <c r="X154" s="4">
        <v>29.96</v>
      </c>
      <c r="Y154" s="4">
        <v>29.11</v>
      </c>
      <c r="Z154" s="4">
        <v>29.12</v>
      </c>
      <c r="AA154" s="4">
        <v>28.77</v>
      </c>
      <c r="AB154" s="4">
        <v>28.68</v>
      </c>
      <c r="AC154" s="4">
        <v>29.5</v>
      </c>
      <c r="AD154" s="4">
        <v>29.11</v>
      </c>
      <c r="AE154" s="4">
        <v>27.05</v>
      </c>
      <c r="AF154" s="4">
        <v>27.4</v>
      </c>
      <c r="AG154" s="4">
        <v>26.82</v>
      </c>
      <c r="AH154" s="4">
        <v>26.16</v>
      </c>
      <c r="AI154" s="4">
        <v>25.28</v>
      </c>
      <c r="AJ154" s="4">
        <v>25.15</v>
      </c>
      <c r="AK154" s="4">
        <v>26.27</v>
      </c>
      <c r="AL154" s="4">
        <v>26.71</v>
      </c>
      <c r="AM154" s="4">
        <v>28.01</v>
      </c>
      <c r="AN154" s="4">
        <v>27.95</v>
      </c>
      <c r="AO154" s="4">
        <v>28.15</v>
      </c>
      <c r="AP154" s="4">
        <v>29.47</v>
      </c>
      <c r="AQ154" s="4">
        <v>29.68</v>
      </c>
      <c r="AR154" s="4">
        <v>27.19</v>
      </c>
      <c r="AS154" s="4">
        <v>28.14</v>
      </c>
      <c r="AT154" s="4">
        <v>28.33</v>
      </c>
      <c r="AU154" s="4">
        <v>28.635000000000002</v>
      </c>
      <c r="AV154" s="4">
        <v>28.82</v>
      </c>
      <c r="AW154" s="4">
        <v>28.62</v>
      </c>
      <c r="AX154" s="4">
        <v>29.06</v>
      </c>
      <c r="AY154" s="12">
        <v>29.87</v>
      </c>
      <c r="AZ154" s="12">
        <v>31.42</v>
      </c>
      <c r="BA154" s="12">
        <v>32.020000000000003</v>
      </c>
      <c r="BB154" s="18">
        <v>33.700000000000003</v>
      </c>
      <c r="BC154" s="63">
        <v>35.229999999999997</v>
      </c>
      <c r="BD154" s="63">
        <v>36.9</v>
      </c>
      <c r="BE154" s="63">
        <v>37.78</v>
      </c>
      <c r="BF154" s="63">
        <v>35.840000000000003</v>
      </c>
      <c r="BG154" s="91" cm="1">
        <f t="array" aca="1" ref="BG154" ca="1">_FV(EE154,"Preço")</f>
        <v>35.1</v>
      </c>
      <c r="BH154" s="93" t="s">
        <v>176</v>
      </c>
      <c r="BI154" s="32" cm="1">
        <f t="array" aca="1" ref="BI154" ca="1">_FV(EE154,"Beta")</f>
        <v>1.522</v>
      </c>
      <c r="BJ154" s="96" cm="1">
        <f t="array" aca="1" ref="BJ154" ca="1">_FV(EE154,"Variação (%)",TRUE)</f>
        <v>-4.2550000000000001E-3</v>
      </c>
      <c r="BK154" s="49"/>
      <c r="BL154" s="49"/>
      <c r="BN154" s="32"/>
      <c r="BO154" s="20" cm="1">
        <f t="array" aca="1" ref="BO154" ca="1">_FV(EE154,"Baixo")</f>
        <v>34.58</v>
      </c>
      <c r="BP154" s="20" cm="1">
        <f t="array" aca="1" ref="BP154" ca="1">_FV(EE154,"Alto")</f>
        <v>35.39</v>
      </c>
      <c r="BQ154" s="32"/>
      <c r="BR154" s="74">
        <f ca="1">SQRT(22.5*(BG154/VLOOKUP(BH154,Fundamentus!A:U,3,FALSE))*(BG154/VLOOKUP(BH154,Fundamentus!A:U,4,FALSE)))</f>
        <v>20.270640983893983</v>
      </c>
      <c r="BT154" s="73">
        <f t="shared" ca="1" si="158"/>
        <v>-2.0647321428571484E-2</v>
      </c>
      <c r="BU154" s="36">
        <f t="shared" si="159"/>
        <v>0.40865026099925433</v>
      </c>
      <c r="BV154" s="8"/>
      <c r="BW154" s="72">
        <f t="shared" si="160"/>
        <v>25.15</v>
      </c>
      <c r="BX154" s="72">
        <f t="shared" si="161"/>
        <v>29.518879310344829</v>
      </c>
      <c r="BY154" s="72">
        <f t="shared" si="162"/>
        <v>37.78</v>
      </c>
      <c r="BZ154" s="17"/>
      <c r="CA154" s="17"/>
      <c r="CB154" s="43">
        <f t="shared" si="163"/>
        <v>35.191632889123134</v>
      </c>
      <c r="CC154" s="18">
        <f t="shared" si="164"/>
        <v>37.148997188378644</v>
      </c>
      <c r="CD154" s="43">
        <f t="shared" si="165"/>
        <v>39.106361487634153</v>
      </c>
      <c r="CE154" s="98">
        <f t="shared" ca="1" si="166"/>
        <v>-1.0468144275227591</v>
      </c>
      <c r="CF154" s="17"/>
      <c r="CG154" s="20">
        <f t="shared" si="167"/>
        <v>15.436666666666675</v>
      </c>
      <c r="CH154" s="20">
        <f t="shared" si="168"/>
        <v>20.293333333333337</v>
      </c>
      <c r="CI154" s="20">
        <f t="shared" si="169"/>
        <v>28.066666666666677</v>
      </c>
      <c r="CJ154" s="49">
        <f t="shared" si="170"/>
        <v>32.923333333333339</v>
      </c>
      <c r="CK154" s="20">
        <f t="shared" si="171"/>
        <v>40.69666666666668</v>
      </c>
      <c r="CL154" s="20">
        <f t="shared" si="172"/>
        <v>45.553333333333342</v>
      </c>
      <c r="CM154" s="20">
        <f t="shared" si="173"/>
        <v>53.326666666666682</v>
      </c>
      <c r="CN154" s="2" cm="1">
        <f t="array" aca="1" ref="CN154" ca="1">MAX(_xlfn._xlws.FILTER(CG154:CM154,CG154:CM154&lt;BG154))</f>
        <v>32.923333333333339</v>
      </c>
      <c r="CO154" s="2" cm="1">
        <f t="array" aca="1" ref="CO154" ca="1">MIN(_xlfn._xlws.FILTER($CG154:$CM154,$CG154:$CM154&gt;BG154))</f>
        <v>40.69666666666668</v>
      </c>
      <c r="CP154" s="19">
        <f t="shared" ca="1" si="183"/>
        <v>0.23610408018629148</v>
      </c>
      <c r="CQ154" s="23">
        <f t="shared" ca="1" si="184"/>
        <v>-0.11805204009314574</v>
      </c>
      <c r="CR154" s="23">
        <f t="shared" ca="1" si="185"/>
        <v>-7.8701360062097159E-2</v>
      </c>
      <c r="CS154" s="23">
        <f t="shared" ca="1" si="186"/>
        <v>-4.7220816037258292E-2</v>
      </c>
      <c r="CT154" s="23">
        <f t="shared" ca="1" si="187"/>
        <v>-2.6233786687365718E-2</v>
      </c>
      <c r="CU154" s="23">
        <f t="shared" ca="1" si="188"/>
        <v>-1.3888475305075969E-2</v>
      </c>
      <c r="CV154" s="23">
        <f t="shared" ca="1" si="189"/>
        <v>-7.1546690965542869E-3</v>
      </c>
      <c r="CW154" s="23">
        <f t="shared" ca="1" si="190"/>
        <v>-3.6323704644044843E-3</v>
      </c>
      <c r="CX154" s="24">
        <f t="shared" ca="1" si="191"/>
        <v>3.6323704644044843E-3</v>
      </c>
      <c r="CY154" s="24">
        <f t="shared" ca="1" si="192"/>
        <v>7.1546690965542869E-3</v>
      </c>
      <c r="CZ154" s="24">
        <f t="shared" ca="1" si="193"/>
        <v>1.3888475305075969E-2</v>
      </c>
      <c r="DA154" s="24">
        <f t="shared" ca="1" si="194"/>
        <v>2.6233786687365718E-2</v>
      </c>
      <c r="DB154" s="24">
        <f t="shared" ca="1" si="195"/>
        <v>4.7220816037258292E-2</v>
      </c>
      <c r="DC154" s="24">
        <f t="shared" ca="1" si="196"/>
        <v>7.8701360062097159E-2</v>
      </c>
      <c r="DD154" s="24">
        <f t="shared" ca="1" si="197"/>
        <v>0.11805204009314574</v>
      </c>
      <c r="DF154" s="19" cm="1">
        <f t="array" aca="1" ref="DF154" ca="1">MAX(_xlfn._xlws.FILTER(CQ154:DD154,CQ154:DD154&lt;BJ154))</f>
        <v>-7.1546690965542869E-3</v>
      </c>
      <c r="DG154" s="19" cm="1">
        <f t="array" aca="1" ref="DG154" ca="1">MIN(_xlfn._xlws.FILTER(CQ154:DD154,CQ154:DD154&gt;BJ154))</f>
        <v>-3.6323704644044843E-3</v>
      </c>
      <c r="DH154" s="2" cm="1">
        <f t="array" aca="1" ref="DH154" ca="1">_FV(EE154,"Fechamento anterior",TRUE)</f>
        <v>35.25</v>
      </c>
      <c r="DI154" s="36">
        <f t="shared" ca="1" si="174"/>
        <v>0.82314143416300423</v>
      </c>
      <c r="DJ154" s="18">
        <f t="shared" ca="1" si="198"/>
        <v>34.997797914346464</v>
      </c>
      <c r="DK154" s="18">
        <f t="shared" ca="1" si="199"/>
        <v>35.121958941129741</v>
      </c>
      <c r="DL154" s="9"/>
      <c r="DM154" s="9"/>
      <c r="DN154" s="9"/>
      <c r="DO154" s="9"/>
      <c r="DP154" s="80">
        <v>1.6609960136993999E-2</v>
      </c>
      <c r="DQ154" s="80">
        <v>6.4661083515141233E-3</v>
      </c>
      <c r="DR154" s="80">
        <v>6.4661083515141233E-3</v>
      </c>
      <c r="DS154" s="80">
        <f t="shared" ca="1" si="175"/>
        <v>3.5222986321498027E-3</v>
      </c>
      <c r="DT154" s="47"/>
      <c r="DU154" s="43">
        <f t="shared" si="176"/>
        <v>0.97868214962775391</v>
      </c>
      <c r="DV154" s="83">
        <f t="shared" ca="1" si="177"/>
        <v>1.9480999999999999</v>
      </c>
      <c r="DW154" s="83">
        <f t="shared" ca="1" si="178"/>
        <v>1.9475</v>
      </c>
      <c r="DX154" s="83">
        <f t="shared" ca="1" si="179"/>
        <v>5.9999999999993392E-4</v>
      </c>
      <c r="DY154" s="67"/>
      <c r="DZ154" s="67"/>
      <c r="EA154" s="85"/>
      <c r="EB154" s="44">
        <v>3479000</v>
      </c>
      <c r="EC154" s="44" cm="1">
        <f t="array" aca="1" ref="EC154" ca="1">_FV(EE154,"Volume")</f>
        <v>3941800</v>
      </c>
      <c r="EE154" s="2" t="e" vm="156">
        <v>#VALUE!</v>
      </c>
      <c r="EG154" s="10" cm="1">
        <f t="array" aca="1" ref="EG154" ca="1">_FV(EE154,"Ações em circulação",TRUE)</f>
        <v>2289292000</v>
      </c>
      <c r="EH154" s="21">
        <f>VLOOKUP(BH154,Fundamentus!A:U,5,FALSE)</f>
        <v>1.6160000000000001</v>
      </c>
      <c r="EI154" s="2">
        <f t="shared" ca="1" si="180"/>
        <v>49724102227.722771</v>
      </c>
      <c r="EJ154" s="20">
        <v>4117642988.9900999</v>
      </c>
      <c r="EK154" s="20">
        <f t="shared" ca="1" si="181"/>
        <v>4032624690.6683168</v>
      </c>
      <c r="EM154" s="40" t="str">
        <f>IF(VLOOKUP(BH154,Fundamentus!A:U,3,FALSE)&lt;15,"Bom",IF(VLOOKUP(BH154,Fundamentus!A:U,3,FALSE)&gt;15,"Ruim","n/a"))</f>
        <v>Ruim</v>
      </c>
      <c r="EN154" s="36" t="str">
        <f>IF(VLOOKUP(BH154,Fundamentus!A:U,4,FALSE)&lt;1,"Baixo",IF(VLOOKUP(BH154,Fundamentus!A:U,4,FALSE)&lt;1.5,"Moderado",IF(VLOOKUP(BH154,Fundamentus!A:U,4,FALSE)&gt;1.5,"Alto","n/a")))</f>
        <v>Alto</v>
      </c>
      <c r="EO154" s="20" t="str">
        <f>IF(VLOOKUP(BH154,Fundamentus!A:U,8,FALSE)&lt;0,"Risco elevado",IF(VLOOKUP(BH154,Fundamentus!A:U,8,FALSE)&lt;1,"Saudável",IF(VLOOKUP(BH154,Fundamentus!A:U,8,FALSE)&lt;3,"Estável",IF(VLOOKUP(BH154,Fundamentus!A:U,8,FALSE)&gt;3,"Alerta","n/a"))))</f>
        <v>Estável</v>
      </c>
      <c r="EP154" s="36" t="str">
        <f t="shared" si="182"/>
        <v>Bom</v>
      </c>
      <c r="EQ154" s="20" t="str">
        <f>IF(VLOOKUP(BH154,Fundamentus!A:U,12,FALSE)&lt;2,"Subvalorizada",IF(VLOOKUP(BH154,Fundamentus!A:U,12,FALSE)&lt;6,"Muita barata",IF(VLOOKUP(BH154,Fundamentus!A:U,12,FALSE)&lt;6,"Barata",IF(VLOOKUP(BH154,Fundamentus!A:U,12,FALSE)&lt;8,"Atrativa",IF(VLOOKUP(BH154,Fundamentus!A:U,12,FALSE)&gt;8,"Supervalorizada","n/a")))))</f>
        <v>Supervalorizada</v>
      </c>
      <c r="ES154" s="20" t="str">
        <f>IF(VLOOKUP(BH154,Fundamentus!A:U,17,FALSE)&lt;0.1,"Fraco retorno",IF(VLOOKUP(BH154,Fundamentus!A:U,17,FALSE)&gt;0.1,"Bom retorno","n/a"))</f>
        <v>Bom retorno</v>
      </c>
      <c r="ET154" s="20" t="str">
        <f>IF(VLOOKUP(BH154,Fundamentus!A:U,16,FALSE)&lt;0.1,"Ineficiente",IF(VLOOKUP(BH154,Fundamentus!A:U,16,FALSE)&gt;0.1,"Eficiente","n/a"))</f>
        <v>Eficiente</v>
      </c>
      <c r="EU154" s="41" t="str">
        <f>IF(VLOOKUP(BH154,Fundamentus!A:U,16,FALSE)&lt;0.1,"Oper. Ineficiente",IF(VLOOKUP(BH154,Fundamentus!A:U,16,FALSE)&gt;0.1,"Oper.Eficiente","n/a"))</f>
        <v>Oper.Eficiente</v>
      </c>
      <c r="EV154" s="42">
        <f>VLOOKUP(BH154,Fundamentus!A:U,14,FALSE)</f>
        <v>8.1100000000000005E-2</v>
      </c>
      <c r="EW154" s="20" t="str">
        <f>IF(VLOOKUP(BH154,Fundamentus!A:U,21,FALSE)&lt;0,"Negativo",IF(VLOOKUP(BH154,Fundamentus!A:U,21,FALSE)&lt;0.05,"Fraco",IF(VLOOKUP(BH154,Fundamentus!A:U,21,FALSE)&lt;0.1,"Bom",IF(VLOOKUP(BH154,Fundamentus!A:U,21,FALSE)&gt;0.1,"Muito bom","n/a"))))</f>
        <v>Muito bom</v>
      </c>
      <c r="EY154" s="37" t="str">
        <f>IF(VLOOKUP(BH154,Fundamentus!A:U,15,FALSE)&gt;1,"Bom",IF(VLOOKUP(BH154,Fundamentus!A:U,15,FALSE)&lt;1,"Ruim","n/a"))</f>
        <v>Bom</v>
      </c>
      <c r="EZ154" s="20" t="str">
        <f>IF(VLOOKUP(BH154,Fundamentus!A:U,20,FALSE)&lt;0.5,"Baixa",IF(VLOOKUP(BH154,Fundamentus!A:U,20,FALSE)&lt;1,"Moderada",IF(VLOOKUP(BH154,Fundamentus!A:U,20,FALSE)&lt;2,"Alerta",IF(VLOOKUP(BH154,Fundamentus!A:U,20,FALSE)&gt;2,"Alta","n/a"))))</f>
        <v>Alerta</v>
      </c>
      <c r="FA154" s="10">
        <v>1</v>
      </c>
    </row>
    <row r="155" spans="1:157" s="2" customFormat="1" ht="11.25" hidden="1" x14ac:dyDescent="0.2">
      <c r="A155" s="4">
        <v>50.35</v>
      </c>
      <c r="B155" s="4">
        <v>45.53</v>
      </c>
      <c r="C155" s="4">
        <v>46.45</v>
      </c>
      <c r="D155" s="4">
        <v>45.9</v>
      </c>
      <c r="E155" s="4">
        <v>43.3</v>
      </c>
      <c r="F155" s="4">
        <v>45</v>
      </c>
      <c r="G155" s="4">
        <v>44.9</v>
      </c>
      <c r="H155" s="4">
        <v>44.49</v>
      </c>
      <c r="I155" s="4">
        <v>45.25</v>
      </c>
      <c r="J155" s="4">
        <v>46.42</v>
      </c>
      <c r="K155" s="4">
        <v>49.47</v>
      </c>
      <c r="L155" s="4">
        <v>49.03</v>
      </c>
      <c r="M155" s="4">
        <v>48.7</v>
      </c>
      <c r="N155" s="4">
        <v>50.08</v>
      </c>
      <c r="O155" s="4">
        <v>50.76</v>
      </c>
      <c r="P155" s="4">
        <v>52</v>
      </c>
      <c r="Q155" s="4">
        <v>53.17</v>
      </c>
      <c r="R155" s="4">
        <v>51.83</v>
      </c>
      <c r="S155" s="4">
        <v>54.96</v>
      </c>
      <c r="T155" s="4">
        <v>54.85</v>
      </c>
      <c r="U155" s="4">
        <v>55.28</v>
      </c>
      <c r="V155" s="4">
        <v>55.6</v>
      </c>
      <c r="W155" s="4">
        <v>54.62</v>
      </c>
      <c r="X155" s="4">
        <v>52.67</v>
      </c>
      <c r="Y155" s="4">
        <v>53.48</v>
      </c>
      <c r="Z155" s="4">
        <v>53.43</v>
      </c>
      <c r="AA155" s="4">
        <v>52.39</v>
      </c>
      <c r="AB155" s="4">
        <v>52.07</v>
      </c>
      <c r="AC155" s="4">
        <v>51.6</v>
      </c>
      <c r="AD155" s="4">
        <v>51</v>
      </c>
      <c r="AE155" s="4">
        <v>49.52</v>
      </c>
      <c r="AF155" s="4">
        <v>51.66</v>
      </c>
      <c r="AG155" s="4">
        <v>49.42</v>
      </c>
      <c r="AH155" s="4">
        <v>48.04</v>
      </c>
      <c r="AI155" s="4">
        <v>47.16</v>
      </c>
      <c r="AJ155" s="4">
        <v>46.86</v>
      </c>
      <c r="AK155" s="4">
        <v>46.87</v>
      </c>
      <c r="AL155" s="4">
        <v>49.1</v>
      </c>
      <c r="AM155" s="4">
        <v>50.56</v>
      </c>
      <c r="AN155" s="4">
        <v>51.87</v>
      </c>
      <c r="AO155" s="4">
        <v>50.9</v>
      </c>
      <c r="AP155" s="4">
        <v>53.85</v>
      </c>
      <c r="AQ155" s="4">
        <v>52.74</v>
      </c>
      <c r="AR155" s="4">
        <v>48.34</v>
      </c>
      <c r="AS155" s="4">
        <v>49.47</v>
      </c>
      <c r="AT155" s="4">
        <v>51.16</v>
      </c>
      <c r="AU155" s="4">
        <v>49.73</v>
      </c>
      <c r="AV155" s="4">
        <v>50.15</v>
      </c>
      <c r="AW155" s="4">
        <v>51.05</v>
      </c>
      <c r="AX155" s="4">
        <v>50.45</v>
      </c>
      <c r="AY155" s="12">
        <v>26.41</v>
      </c>
      <c r="AZ155" s="12">
        <v>27.15</v>
      </c>
      <c r="BA155" s="12">
        <v>27.79</v>
      </c>
      <c r="BB155" s="18">
        <v>27.91</v>
      </c>
      <c r="BC155" s="63">
        <v>28.15</v>
      </c>
      <c r="BD155" s="63">
        <v>27.66</v>
      </c>
      <c r="BE155" s="63">
        <v>28.66</v>
      </c>
      <c r="BF155" s="63">
        <v>28.78</v>
      </c>
      <c r="BG155" s="91" cm="1">
        <f t="array" aca="1" ref="BG155" ca="1">_FV(EE155,"Preço")</f>
        <v>29.79</v>
      </c>
      <c r="BH155" s="93" t="s">
        <v>152</v>
      </c>
      <c r="BI155" s="32" cm="1">
        <f t="array" aca="1" ref="BI155" ca="1">_FV(EE155,"Beta")</f>
        <v>0.5857</v>
      </c>
      <c r="BJ155" s="96" cm="1">
        <f t="array" aca="1" ref="BJ155" ca="1">_FV(EE155,"Variação (%)",TRUE)</f>
        <v>1.3450000000000001E-3</v>
      </c>
      <c r="BK155" s="49"/>
      <c r="BL155" s="49"/>
      <c r="BN155" s="32"/>
      <c r="BO155" s="20" cm="1">
        <f t="array" aca="1" ref="BO155" ca="1">_FV(EE155,"Baixo")</f>
        <v>29.32</v>
      </c>
      <c r="BP155" s="20" cm="1">
        <f t="array" aca="1" ref="BP155" ca="1">_FV(EE155,"Alto")</f>
        <v>30.09</v>
      </c>
      <c r="BQ155" s="32"/>
      <c r="BR155" s="74">
        <f ca="1">SQRT(22.5*(BG155/VLOOKUP(BH155,Fundamentus!A:U,3,FALSE))*(BG155/VLOOKUP(BH155,Fundamentus!A:U,4,FALSE)))</f>
        <v>29.612852740504927</v>
      </c>
      <c r="BT155" s="73">
        <f t="shared" ca="1" si="158"/>
        <v>3.5093815149409242E-2</v>
      </c>
      <c r="BU155" s="36">
        <f t="shared" si="159"/>
        <v>-0.43078450844091359</v>
      </c>
      <c r="BV155" s="8"/>
      <c r="BW155" s="72">
        <f t="shared" si="160"/>
        <v>26.41</v>
      </c>
      <c r="BX155" s="72">
        <f t="shared" si="161"/>
        <v>46.999827586206884</v>
      </c>
      <c r="BY155" s="72">
        <f t="shared" si="162"/>
        <v>55.6</v>
      </c>
      <c r="BZ155" s="17"/>
      <c r="CA155" s="17"/>
      <c r="CB155" s="43">
        <f t="shared" si="163"/>
        <v>28.106733573391661</v>
      </c>
      <c r="CC155" s="18">
        <f t="shared" si="164"/>
        <v>28.99638238050602</v>
      </c>
      <c r="CD155" s="43">
        <f t="shared" si="165"/>
        <v>29.886031187620379</v>
      </c>
      <c r="CE155" s="98">
        <f t="shared" ca="1" si="166"/>
        <v>0.89205719509492309</v>
      </c>
      <c r="CF155" s="17"/>
      <c r="CG155" s="20">
        <f t="shared" si="167"/>
        <v>-10.930000000000003</v>
      </c>
      <c r="CH155" s="20">
        <f t="shared" si="168"/>
        <v>7.7399999999999984</v>
      </c>
      <c r="CI155" s="20">
        <f t="shared" si="169"/>
        <v>18.259999999999998</v>
      </c>
      <c r="CJ155" s="49">
        <f t="shared" si="170"/>
        <v>36.93</v>
      </c>
      <c r="CK155" s="20">
        <f t="shared" si="171"/>
        <v>47.45</v>
      </c>
      <c r="CL155" s="20">
        <f t="shared" si="172"/>
        <v>66.12</v>
      </c>
      <c r="CM155" s="20">
        <f t="shared" si="173"/>
        <v>76.64</v>
      </c>
      <c r="CN155" s="2" cm="1">
        <f t="array" aca="1" ref="CN155" ca="1">MAX(_xlfn._xlws.FILTER(CG155:CM155,CG155:CM155&lt;BG155))</f>
        <v>18.259999999999998</v>
      </c>
      <c r="CO155" s="2" cm="1">
        <f t="array" aca="1" ref="CO155" ca="1">MIN(_xlfn._xlws.FILTER($CG155:$CM155,$CG155:$CM155&gt;BG155))</f>
        <v>36.93</v>
      </c>
      <c r="CP155" s="19">
        <f t="shared" ca="1" si="183"/>
        <v>1.0224534501642939</v>
      </c>
      <c r="CQ155" s="23">
        <f t="shared" ca="1" si="184"/>
        <v>-0.51122672508214695</v>
      </c>
      <c r="CR155" s="23">
        <f t="shared" ca="1" si="185"/>
        <v>-0.3408178167214313</v>
      </c>
      <c r="CS155" s="23">
        <f t="shared" ca="1" si="186"/>
        <v>-0.20449069003285877</v>
      </c>
      <c r="CT155" s="23">
        <f t="shared" ca="1" si="187"/>
        <v>-0.11360593890714377</v>
      </c>
      <c r="CU155" s="23">
        <f t="shared" ca="1" si="188"/>
        <v>-6.0144320597899641E-2</v>
      </c>
      <c r="CV155" s="23">
        <f t="shared" ca="1" si="189"/>
        <v>-3.0983437883766483E-2</v>
      </c>
      <c r="CW155" s="23">
        <f t="shared" ca="1" si="190"/>
        <v>-1.5730053079450676E-2</v>
      </c>
      <c r="CX155" s="24">
        <f t="shared" ca="1" si="191"/>
        <v>1.5730053079450676E-2</v>
      </c>
      <c r="CY155" s="24">
        <f t="shared" ca="1" si="192"/>
        <v>3.0983437883766483E-2</v>
      </c>
      <c r="CZ155" s="24">
        <f t="shared" ca="1" si="193"/>
        <v>6.0144320597899641E-2</v>
      </c>
      <c r="DA155" s="24">
        <f t="shared" ca="1" si="194"/>
        <v>0.11360593890714377</v>
      </c>
      <c r="DB155" s="24">
        <f t="shared" ca="1" si="195"/>
        <v>0.20449069003285877</v>
      </c>
      <c r="DC155" s="24">
        <f t="shared" ca="1" si="196"/>
        <v>0.3408178167214313</v>
      </c>
      <c r="DD155" s="24">
        <f t="shared" ca="1" si="197"/>
        <v>0.51122672508214695</v>
      </c>
      <c r="DF155" s="19" cm="1">
        <f t="array" aca="1" ref="DF155" ca="1">MAX(_xlfn._xlws.FILTER(CQ155:DD155,CQ155:DD155&lt;BJ155))</f>
        <v>-1.5730053079450676E-2</v>
      </c>
      <c r="DG155" s="19" cm="1">
        <f t="array" aca="1" ref="DG155" ca="1">MIN(_xlfn._xlws.FILTER(CQ155:DD155,CQ155:DD155&gt;BJ155))</f>
        <v>1.5730053079450676E-2</v>
      </c>
      <c r="DH155" s="2" cm="1">
        <f t="array" aca="1" ref="DH155" ca="1">_FV(EE155,"Fechamento anterior",TRUE)</f>
        <v>29.75</v>
      </c>
      <c r="DI155" s="36">
        <f t="shared" ca="1" si="174"/>
        <v>0.54273786643741495</v>
      </c>
      <c r="DJ155" s="18">
        <f t="shared" ca="1" si="198"/>
        <v>29.282030920886342</v>
      </c>
      <c r="DK155" s="18">
        <f t="shared" ca="1" si="199"/>
        <v>30.217969079113658</v>
      </c>
      <c r="DL155" s="9"/>
      <c r="DM155" s="9"/>
      <c r="DN155" s="9"/>
      <c r="DO155" s="9"/>
      <c r="DP155" s="79">
        <v>3.6498531609047355E-2</v>
      </c>
      <c r="DQ155" s="79">
        <v>1.7696257749841141E-2</v>
      </c>
      <c r="DR155" s="79">
        <v>3.6498531609047355E-2</v>
      </c>
      <c r="DS155" s="79">
        <f t="shared" ca="1" si="175"/>
        <v>3.1460106158901352E-2</v>
      </c>
      <c r="DT155" s="47"/>
      <c r="DU155" s="43">
        <f t="shared" si="176"/>
        <v>0.44482440355717939</v>
      </c>
      <c r="DV155" s="83">
        <f t="shared" ca="1" si="177"/>
        <v>1.0118</v>
      </c>
      <c r="DW155" s="83">
        <f t="shared" ca="1" si="178"/>
        <v>0.45119999999999999</v>
      </c>
      <c r="DX155" s="83">
        <f t="shared" ca="1" si="179"/>
        <v>0.56059999999999999</v>
      </c>
      <c r="DY155" s="67"/>
      <c r="DZ155" s="67"/>
      <c r="EA155" s="85"/>
      <c r="EB155" s="44">
        <v>8716800</v>
      </c>
      <c r="EC155" s="44" cm="1">
        <f t="array" aca="1" ref="EC155" ca="1">_FV(EE155,"Volume")</f>
        <v>6073400</v>
      </c>
      <c r="EE155" s="2" t="e" vm="157">
        <v>#VALUE!</v>
      </c>
      <c r="EG155" s="10" cm="1">
        <f t="array" aca="1" ref="EG155" ca="1">_FV(EE155,"Ações em circulação",TRUE)</f>
        <v>3261287000</v>
      </c>
      <c r="EH155" s="21">
        <f>VLOOKUP(BH155,Fundamentus!A:U,5,FALSE)</f>
        <v>1.6619999999999999</v>
      </c>
      <c r="EI155" s="2">
        <f t="shared" ca="1" si="180"/>
        <v>58455920415.16246</v>
      </c>
      <c r="EJ155" s="20">
        <v>5698229748.4199762</v>
      </c>
      <c r="EK155" s="20">
        <f t="shared" ca="1" si="181"/>
        <v>5898202369.8898926</v>
      </c>
      <c r="EM155" s="40" t="str">
        <f>IF(VLOOKUP(BH155,Fundamentus!A:U,3,FALSE)&lt;15,"Bom",IF(VLOOKUP(BH155,Fundamentus!A:U,3,FALSE)&gt;15,"Ruim","n/a"))</f>
        <v>Ruim</v>
      </c>
      <c r="EN155" s="36" t="str">
        <f>IF(VLOOKUP(BH155,Fundamentus!A:U,4,FALSE)&lt;1,"Baixo",IF(VLOOKUP(BH155,Fundamentus!A:U,4,FALSE)&lt;1.5,"Moderado",IF(VLOOKUP(BH155,Fundamentus!A:U,4,FALSE)&gt;1.5,"Alto","n/a")))</f>
        <v>Moderado</v>
      </c>
      <c r="EO155" s="20" t="str">
        <f>IF(VLOOKUP(BH155,Fundamentus!A:U,8,FALSE)&lt;0,"Risco elevado",IF(VLOOKUP(BH155,Fundamentus!A:U,8,FALSE)&lt;1,"Saudável",IF(VLOOKUP(BH155,Fundamentus!A:U,8,FALSE)&lt;3,"Estável",IF(VLOOKUP(BH155,Fundamentus!A:U,8,FALSE)&gt;3,"Alerta","n/a"))))</f>
        <v>Risco elevado</v>
      </c>
      <c r="EP155" s="36" t="str">
        <f t="shared" si="182"/>
        <v>Bom</v>
      </c>
      <c r="EQ155" s="20" t="str">
        <f>IF(VLOOKUP(BH155,Fundamentus!A:U,12,FALSE)&lt;2,"Subvalorizada",IF(VLOOKUP(BH155,Fundamentus!A:U,12,FALSE)&lt;6,"Muita barata",IF(VLOOKUP(BH155,Fundamentus!A:U,12,FALSE)&lt;6,"Barata",IF(VLOOKUP(BH155,Fundamentus!A:U,12,FALSE)&lt;8,"Atrativa",IF(VLOOKUP(BH155,Fundamentus!A:U,12,FALSE)&gt;8,"Supervalorizada","n/a")))))</f>
        <v>Muita barata</v>
      </c>
      <c r="ES155" s="20" t="str">
        <f>IF(VLOOKUP(BH155,Fundamentus!A:U,17,FALSE)&lt;0.1,"Fraco retorno",IF(VLOOKUP(BH155,Fundamentus!A:U,17,FALSE)&gt;0.1,"Bom retorno","n/a"))</f>
        <v>Fraco retorno</v>
      </c>
      <c r="ET155" s="20" t="str">
        <f>IF(VLOOKUP(BH155,Fundamentus!A:U,16,FALSE)&lt;0.1,"Ineficiente",IF(VLOOKUP(BH155,Fundamentus!A:U,16,FALSE)&gt;0.1,"Eficiente","n/a"))</f>
        <v>Ineficiente</v>
      </c>
      <c r="EU155" s="41" t="str">
        <f>IF(VLOOKUP(BH155,Fundamentus!A:U,16,FALSE)&lt;0.1,"Oper. Ineficiente",IF(VLOOKUP(BH155,Fundamentus!A:U,16,FALSE)&gt;0.1,"Oper.Eficiente","n/a"))</f>
        <v>Oper. Ineficiente</v>
      </c>
      <c r="EV155" s="42">
        <f>VLOOKUP(BH155,Fundamentus!A:U,14,FALSE)</f>
        <v>0.1009</v>
      </c>
      <c r="EW155" s="20" t="str">
        <f>IF(VLOOKUP(BH155,Fundamentus!A:U,21,FALSE)&lt;0,"Negativo",IF(VLOOKUP(BH155,Fundamentus!A:U,21,FALSE)&lt;0.05,"Fraco",IF(VLOOKUP(BH155,Fundamentus!A:U,21,FALSE)&lt;0.1,"Bom",IF(VLOOKUP(BH155,Fundamentus!A:U,21,FALSE)&gt;0.1,"Muito bom","n/a"))))</f>
        <v>Bom</v>
      </c>
      <c r="EY155" s="37" t="str">
        <f>IF(VLOOKUP(BH155,Fundamentus!A:U,15,FALSE)&gt;1,"Bom",IF(VLOOKUP(BH155,Fundamentus!A:U,15,FALSE)&lt;1,"Ruim","n/a"))</f>
        <v>Ruim</v>
      </c>
      <c r="EZ155" s="20" t="str">
        <f>IF(VLOOKUP(BH155,Fundamentus!A:U,20,FALSE)&lt;0.5,"Baixa",IF(VLOOKUP(BH155,Fundamentus!A:U,20,FALSE)&lt;1,"Moderada",IF(VLOOKUP(BH155,Fundamentus!A:U,20,FALSE)&lt;2,"Alerta",IF(VLOOKUP(BH155,Fundamentus!A:U,20,FALSE)&gt;2,"Alta","n/a"))))</f>
        <v>Baixa</v>
      </c>
      <c r="FA155" s="10"/>
    </row>
    <row r="156" spans="1:157" s="2" customFormat="1" ht="11.25" hidden="1" x14ac:dyDescent="0.2">
      <c r="A156" s="4">
        <v>2.62</v>
      </c>
      <c r="B156" s="4">
        <v>2.5299999999999998</v>
      </c>
      <c r="C156" s="4">
        <v>2.54</v>
      </c>
      <c r="D156" s="4">
        <v>2.46</v>
      </c>
      <c r="E156" s="4">
        <v>2.2999999999999998</v>
      </c>
      <c r="F156" s="4">
        <v>2.36</v>
      </c>
      <c r="G156" s="4">
        <v>2.2400000000000002</v>
      </c>
      <c r="H156" s="4">
        <v>2.2999999999999998</v>
      </c>
      <c r="I156" s="4">
        <v>2.5499999999999998</v>
      </c>
      <c r="J156" s="4">
        <v>2.73</v>
      </c>
      <c r="K156" s="4">
        <v>2.78</v>
      </c>
      <c r="L156" s="4">
        <v>2.78</v>
      </c>
      <c r="M156" s="4">
        <v>2.59</v>
      </c>
      <c r="N156" s="4">
        <v>2.59</v>
      </c>
      <c r="O156" s="4">
        <v>3.02</v>
      </c>
      <c r="P156" s="4">
        <v>3.01</v>
      </c>
      <c r="Q156" s="4">
        <v>3.39</v>
      </c>
      <c r="R156" s="4">
        <v>3.08</v>
      </c>
      <c r="S156" s="4">
        <v>3.1</v>
      </c>
      <c r="T156" s="4">
        <v>2.98</v>
      </c>
      <c r="U156" s="4">
        <v>2.67</v>
      </c>
      <c r="V156" s="4">
        <v>2.65</v>
      </c>
      <c r="W156" s="4">
        <v>2.74</v>
      </c>
      <c r="X156" s="4">
        <v>2.7</v>
      </c>
      <c r="Y156" s="4">
        <v>2.79</v>
      </c>
      <c r="Z156" s="4">
        <v>2.82</v>
      </c>
      <c r="AA156" s="4">
        <v>2.83</v>
      </c>
      <c r="AB156" s="4">
        <v>3.14</v>
      </c>
      <c r="AC156" s="4">
        <v>3.13</v>
      </c>
      <c r="AD156" s="4">
        <v>3.3</v>
      </c>
      <c r="AE156" s="4">
        <v>3.41</v>
      </c>
      <c r="AF156" s="4">
        <v>3.1</v>
      </c>
      <c r="AG156" s="4">
        <v>3.09</v>
      </c>
      <c r="AH156" s="4">
        <v>3.18</v>
      </c>
      <c r="AI156" s="4">
        <v>3.11</v>
      </c>
      <c r="AJ156" s="4">
        <v>3.03</v>
      </c>
      <c r="AK156" s="4">
        <v>3.26</v>
      </c>
      <c r="AL156" s="4">
        <v>3.37</v>
      </c>
      <c r="AM156" s="4">
        <v>3.06</v>
      </c>
      <c r="AN156" s="4">
        <v>3.15</v>
      </c>
      <c r="AO156" s="4">
        <v>3.09</v>
      </c>
      <c r="AP156" s="4">
        <v>3.33</v>
      </c>
      <c r="AQ156" s="4">
        <v>3.07</v>
      </c>
      <c r="AR156" s="4">
        <v>2.82</v>
      </c>
      <c r="AS156" s="4">
        <v>3.03</v>
      </c>
      <c r="AT156" s="4">
        <v>3.06</v>
      </c>
      <c r="AU156" s="4">
        <v>3.18</v>
      </c>
      <c r="AV156" s="4">
        <v>3.19</v>
      </c>
      <c r="AW156" s="4">
        <v>3.19</v>
      </c>
      <c r="AX156" s="4">
        <v>3.43</v>
      </c>
      <c r="AY156" s="12">
        <v>3.28</v>
      </c>
      <c r="AZ156" s="12">
        <v>3.38</v>
      </c>
      <c r="BA156" s="12">
        <v>3.3</v>
      </c>
      <c r="BB156" s="18">
        <v>3.47</v>
      </c>
      <c r="BC156" s="63">
        <v>3.33</v>
      </c>
      <c r="BD156" s="63">
        <v>3.32</v>
      </c>
      <c r="BE156" s="63">
        <v>3.48</v>
      </c>
      <c r="BF156" s="63">
        <v>3.43</v>
      </c>
      <c r="BG156" s="91" cm="1">
        <f t="array" aca="1" ref="BG156" ca="1">_FV(EE156,"Preço")</f>
        <v>3.34</v>
      </c>
      <c r="BH156" s="93" t="s">
        <v>153</v>
      </c>
      <c r="BI156" s="32" cm="1">
        <f t="array" aca="1" ref="BI156" ca="1">_FV(EE156,"Beta")</f>
        <v>1.3257000000000001</v>
      </c>
      <c r="BJ156" s="96" cm="1">
        <f t="array" aca="1" ref="BJ156" ca="1">_FV(EE156,"Variação (%)",TRUE)</f>
        <v>-1.1834000000000001E-2</v>
      </c>
      <c r="BK156" s="49"/>
      <c r="BL156" s="49"/>
      <c r="BN156" s="32"/>
      <c r="BO156" s="20" cm="1">
        <f t="array" aca="1" ref="BO156" ca="1">_FV(EE156,"Baixo")</f>
        <v>3.33</v>
      </c>
      <c r="BP156" s="20" cm="1">
        <f t="array" aca="1" ref="BP156" ca="1">_FV(EE156,"Alto")</f>
        <v>3.42</v>
      </c>
      <c r="BQ156" s="32"/>
      <c r="BR156" s="74">
        <f ca="1">SQRT(22.5*(BG156/VLOOKUP(BH156,Fundamentus!A:U,3,FALSE))*(BG156/VLOOKUP(BH156,Fundamentus!A:U,4,FALSE)))</f>
        <v>4.630203494463661</v>
      </c>
      <c r="BT156" s="73">
        <f t="shared" ca="1" si="158"/>
        <v>-2.6239067055393674E-2</v>
      </c>
      <c r="BU156" s="36">
        <f t="shared" si="159"/>
        <v>0.32824427480916024</v>
      </c>
      <c r="BV156" s="8"/>
      <c r="BW156" s="72">
        <f t="shared" si="160"/>
        <v>2.2400000000000002</v>
      </c>
      <c r="BX156" s="72">
        <f t="shared" si="161"/>
        <v>2.9803448275862072</v>
      </c>
      <c r="BY156" s="72">
        <f t="shared" si="162"/>
        <v>3.48</v>
      </c>
      <c r="BZ156" s="17"/>
      <c r="CA156" s="17"/>
      <c r="CB156" s="43">
        <f t="shared" si="163"/>
        <v>3.3662172729149975</v>
      </c>
      <c r="CC156" s="18">
        <f t="shared" si="164"/>
        <v>3.501124648547318</v>
      </c>
      <c r="CD156" s="43">
        <f t="shared" si="165"/>
        <v>3.6360320241796384</v>
      </c>
      <c r="CE156" s="98">
        <f t="shared" ca="1" si="166"/>
        <v>-1.194335356329596</v>
      </c>
      <c r="CF156" s="17"/>
      <c r="CG156" s="20">
        <f t="shared" si="167"/>
        <v>1.3800000000000008</v>
      </c>
      <c r="CH156" s="20">
        <f t="shared" si="168"/>
        <v>1.8100000000000005</v>
      </c>
      <c r="CI156" s="20">
        <f t="shared" si="169"/>
        <v>2.6200000000000006</v>
      </c>
      <c r="CJ156" s="49">
        <f t="shared" si="170"/>
        <v>3.0500000000000003</v>
      </c>
      <c r="CK156" s="20">
        <f t="shared" si="171"/>
        <v>3.8600000000000003</v>
      </c>
      <c r="CL156" s="20">
        <f t="shared" si="172"/>
        <v>4.29</v>
      </c>
      <c r="CM156" s="20">
        <f t="shared" si="173"/>
        <v>5.0999999999999996</v>
      </c>
      <c r="CN156" s="2" cm="1">
        <f t="array" aca="1" ref="CN156" ca="1">MAX(_xlfn._xlws.FILTER(CG156:CM156,CG156:CM156&lt;BG156))</f>
        <v>3.0500000000000003</v>
      </c>
      <c r="CO156" s="2" cm="1">
        <f t="array" aca="1" ref="CO156" ca="1">MIN(_xlfn._xlws.FILTER($CG156:$CM156,$CG156:$CM156&gt;BG156))</f>
        <v>3.8600000000000003</v>
      </c>
      <c r="CP156" s="19">
        <f t="shared" ca="1" si="183"/>
        <v>0.26557377049180331</v>
      </c>
      <c r="CQ156" s="23">
        <f t="shared" ca="1" si="184"/>
        <v>-0.13278688524590165</v>
      </c>
      <c r="CR156" s="23">
        <f t="shared" ca="1" si="185"/>
        <v>-8.8524590163934436E-2</v>
      </c>
      <c r="CS156" s="23">
        <f t="shared" ca="1" si="186"/>
        <v>-5.311475409836066E-2</v>
      </c>
      <c r="CT156" s="23">
        <f t="shared" ca="1" si="187"/>
        <v>-2.950819672131148E-2</v>
      </c>
      <c r="CU156" s="23">
        <f t="shared" ca="1" si="188"/>
        <v>-1.5621986499517841E-2</v>
      </c>
      <c r="CV156" s="23">
        <f t="shared" ca="1" si="189"/>
        <v>-8.0476900149031305E-3</v>
      </c>
      <c r="CW156" s="23">
        <f t="shared" ca="1" si="190"/>
        <v>-4.0857503152585128E-3</v>
      </c>
      <c r="CX156" s="24">
        <f t="shared" ca="1" si="191"/>
        <v>4.0857503152585128E-3</v>
      </c>
      <c r="CY156" s="24">
        <f t="shared" ca="1" si="192"/>
        <v>8.0476900149031305E-3</v>
      </c>
      <c r="CZ156" s="24">
        <f t="shared" ca="1" si="193"/>
        <v>1.5621986499517841E-2</v>
      </c>
      <c r="DA156" s="24">
        <f t="shared" ca="1" si="194"/>
        <v>2.950819672131148E-2</v>
      </c>
      <c r="DB156" s="24">
        <f t="shared" ca="1" si="195"/>
        <v>5.311475409836066E-2</v>
      </c>
      <c r="DC156" s="24">
        <f t="shared" ca="1" si="196"/>
        <v>8.8524590163934436E-2</v>
      </c>
      <c r="DD156" s="24">
        <f t="shared" ca="1" si="197"/>
        <v>0.13278688524590165</v>
      </c>
      <c r="DF156" s="19" cm="1">
        <f t="array" aca="1" ref="DF156" ca="1">MAX(_xlfn._xlws.FILTER(CQ156:DD156,CQ156:DD156&lt;BJ156))</f>
        <v>-1.5621986499517841E-2</v>
      </c>
      <c r="DG156" s="19" cm="1">
        <f t="array" aca="1" ref="DG156" ca="1">MIN(_xlfn._xlws.FILTER(CQ156:DD156,CQ156:DD156&gt;BJ156))</f>
        <v>-8.0476900149031305E-3</v>
      </c>
      <c r="DH156" s="2" cm="1">
        <f t="array" aca="1" ref="DH156" ca="1">_FV(EE156,"Fechamento anterior",TRUE)</f>
        <v>3.38</v>
      </c>
      <c r="DI156" s="36">
        <f t="shared" ca="1" si="174"/>
        <v>0.50006848564540984</v>
      </c>
      <c r="DJ156" s="18">
        <f t="shared" ca="1" si="198"/>
        <v>3.3271976856316297</v>
      </c>
      <c r="DK156" s="18">
        <f t="shared" ca="1" si="199"/>
        <v>3.3527988077496271</v>
      </c>
      <c r="DL156" s="9"/>
      <c r="DM156" s="9"/>
      <c r="DN156" s="9"/>
      <c r="DO156" s="9"/>
      <c r="DP156" s="79">
        <v>6.4386317907444684E-3</v>
      </c>
      <c r="DQ156" s="79">
        <v>1.8741633199464543E-2</v>
      </c>
      <c r="DR156" s="79">
        <v>3.1454489285814616E-3</v>
      </c>
      <c r="DS156" s="79">
        <f t="shared" ca="1" si="175"/>
        <v>7.5742964846147107E-3</v>
      </c>
      <c r="DT156" s="47"/>
      <c r="DU156" s="43">
        <f t="shared" si="176"/>
        <v>6.7453687816160249E-2</v>
      </c>
      <c r="DV156" s="83">
        <f t="shared" ca="1" si="177"/>
        <v>1.7518</v>
      </c>
      <c r="DW156" s="83">
        <f t="shared" ca="1" si="178"/>
        <v>2.5091000000000001</v>
      </c>
      <c r="DX156" s="83">
        <f t="shared" ca="1" si="179"/>
        <v>-0.75730000000000008</v>
      </c>
      <c r="DY156" s="67"/>
      <c r="DZ156" s="67"/>
      <c r="EA156" s="85"/>
      <c r="EB156" s="44">
        <v>568400</v>
      </c>
      <c r="EC156" s="44" cm="1">
        <f t="array" aca="1" ref="EC156" ca="1">_FV(EE156,"Volume")</f>
        <v>612000</v>
      </c>
      <c r="EE156" s="2" t="e" vm="158">
        <v>#VALUE!</v>
      </c>
      <c r="EG156" s="10" cm="1">
        <f t="array" aca="1" ref="EG156" ca="1">_FV(EE156,"Ações em circulação",TRUE)</f>
        <v>622672700</v>
      </c>
      <c r="EH156" s="21">
        <f>VLOOKUP(BH156,Fundamentus!A:U,5,FALSE)</f>
        <v>0.16400000000000001</v>
      </c>
      <c r="EI156" s="2">
        <f t="shared" ca="1" si="180"/>
        <v>12681261085.365852</v>
      </c>
      <c r="EJ156" s="20">
        <v>144554986.01890242</v>
      </c>
      <c r="EK156" s="20">
        <f t="shared" ca="1" si="181"/>
        <v>140761998.04756096</v>
      </c>
      <c r="EM156" s="40" t="str">
        <f>IF(VLOOKUP(BH156,Fundamentus!A:U,3,FALSE)&lt;15,"Bom",IF(VLOOKUP(BH156,Fundamentus!A:U,3,FALSE)&gt;15,"Ruim","n/a"))</f>
        <v>Bom</v>
      </c>
      <c r="EN156" s="36" t="str">
        <f>IF(VLOOKUP(BH156,Fundamentus!A:U,4,FALSE)&lt;1,"Baixo",IF(VLOOKUP(BH156,Fundamentus!A:U,4,FALSE)&lt;1.5,"Moderado",IF(VLOOKUP(BH156,Fundamentus!A:U,4,FALSE)&gt;1.5,"Alto","n/a")))</f>
        <v>Baixo</v>
      </c>
      <c r="EO156" s="20" t="str">
        <f>IF(VLOOKUP(BH156,Fundamentus!A:U,8,FALSE)&lt;0,"Risco elevado",IF(VLOOKUP(BH156,Fundamentus!A:U,8,FALSE)&lt;1,"Saudável",IF(VLOOKUP(BH156,Fundamentus!A:U,8,FALSE)&lt;3,"Estável",IF(VLOOKUP(BH156,Fundamentus!A:U,8,FALSE)&gt;3,"Alerta","n/a"))))</f>
        <v>Estável</v>
      </c>
      <c r="EP156" s="36" t="str">
        <f t="shared" si="182"/>
        <v>Ruim</v>
      </c>
      <c r="EQ156" s="20" t="str">
        <f>IF(VLOOKUP(BH156,Fundamentus!A:U,12,FALSE)&lt;2,"Subvalorizada",IF(VLOOKUP(BH156,Fundamentus!A:U,12,FALSE)&lt;6,"Muita barata",IF(VLOOKUP(BH156,Fundamentus!A:U,12,FALSE)&lt;6,"Barata",IF(VLOOKUP(BH156,Fundamentus!A:U,12,FALSE)&lt;8,"Atrativa",IF(VLOOKUP(BH156,Fundamentus!A:U,12,FALSE)&gt;8,"Supervalorizada","n/a")))))</f>
        <v>Muita barata</v>
      </c>
      <c r="ES156" s="20" t="str">
        <f>IF(VLOOKUP(BH156,Fundamentus!A:U,17,FALSE)&lt;0.1,"Fraco retorno",IF(VLOOKUP(BH156,Fundamentus!A:U,17,FALSE)&gt;0.1,"Bom retorno","n/a"))</f>
        <v>Fraco retorno</v>
      </c>
      <c r="ET156" s="20" t="str">
        <f>IF(VLOOKUP(BH156,Fundamentus!A:U,16,FALSE)&lt;0.1,"Ineficiente",IF(VLOOKUP(BH156,Fundamentus!A:U,16,FALSE)&gt;0.1,"Eficiente","n/a"))</f>
        <v>Ineficiente</v>
      </c>
      <c r="EU156" s="41" t="str">
        <f>IF(VLOOKUP(BH156,Fundamentus!A:U,16,FALSE)&lt;0.1,"Oper. Ineficiente",IF(VLOOKUP(BH156,Fundamentus!A:U,16,FALSE)&gt;0.1,"Oper.Eficiente","n/a"))</f>
        <v>Oper. Ineficiente</v>
      </c>
      <c r="EV156" s="42">
        <f>VLOOKUP(BH156,Fundamentus!A:U,14,FALSE)</f>
        <v>1.11E-2</v>
      </c>
      <c r="EW156" s="20" t="str">
        <f>IF(VLOOKUP(BH156,Fundamentus!A:U,21,FALSE)&lt;0,"Negativo",IF(VLOOKUP(BH156,Fundamentus!A:U,21,FALSE)&lt;0.05,"Fraco",IF(VLOOKUP(BH156,Fundamentus!A:U,21,FALSE)&lt;0.1,"Bom",IF(VLOOKUP(BH156,Fundamentus!A:U,21,FALSE)&gt;0.1,"Muito bom","n/a"))))</f>
        <v>Muito bom</v>
      </c>
      <c r="EY156" s="37" t="str">
        <f>IF(VLOOKUP(BH156,Fundamentus!A:U,15,FALSE)&gt;1,"Bom",IF(VLOOKUP(BH156,Fundamentus!A:U,15,FALSE)&lt;1,"Ruim","n/a"))</f>
        <v>Bom</v>
      </c>
      <c r="EZ156" s="20" t="str">
        <f>IF(VLOOKUP(BH156,Fundamentus!A:U,20,FALSE)&lt;0.5,"Baixa",IF(VLOOKUP(BH156,Fundamentus!A:U,20,FALSE)&lt;1,"Moderada",IF(VLOOKUP(BH156,Fundamentus!A:U,20,FALSE)&lt;2,"Alerta",IF(VLOOKUP(BH156,Fundamentus!A:U,20,FALSE)&gt;2,"Alta","n/a"))))</f>
        <v>Moderada</v>
      </c>
      <c r="FA156" s="10"/>
    </row>
    <row r="157" spans="1:157" s="2" customFormat="1" ht="11.25" hidden="1" x14ac:dyDescent="0.2">
      <c r="A157" s="4">
        <v>11.7</v>
      </c>
      <c r="B157" s="4">
        <v>11.61</v>
      </c>
      <c r="C157" s="4">
        <v>12.1</v>
      </c>
      <c r="D157" s="4">
        <v>11.75</v>
      </c>
      <c r="E157" s="4">
        <v>11.1</v>
      </c>
      <c r="F157" s="4">
        <v>11.63</v>
      </c>
      <c r="G157" s="4">
        <v>11.65</v>
      </c>
      <c r="H157" s="4">
        <v>10.3</v>
      </c>
      <c r="I157" s="4">
        <v>10.71</v>
      </c>
      <c r="J157" s="4">
        <v>11.4</v>
      </c>
      <c r="K157" s="4">
        <v>11.25</v>
      </c>
      <c r="L157" s="4">
        <v>11.22</v>
      </c>
      <c r="M157" s="4">
        <v>11.38</v>
      </c>
      <c r="N157" s="4">
        <v>11.45</v>
      </c>
      <c r="O157" s="4">
        <v>12.04</v>
      </c>
      <c r="P157" s="4">
        <v>12.39</v>
      </c>
      <c r="Q157" s="4">
        <v>12.3</v>
      </c>
      <c r="R157" s="4">
        <v>11.93</v>
      </c>
      <c r="S157" s="4">
        <v>11.5</v>
      </c>
      <c r="T157" s="4">
        <v>11.6</v>
      </c>
      <c r="U157" s="4">
        <v>11.4</v>
      </c>
      <c r="V157" s="4">
        <v>10.65</v>
      </c>
      <c r="W157" s="4">
        <v>10.56</v>
      </c>
      <c r="X157" s="4">
        <v>10.39</v>
      </c>
      <c r="Y157" s="4">
        <v>10.36</v>
      </c>
      <c r="Z157" s="4">
        <v>10.54</v>
      </c>
      <c r="AA157" s="4">
        <v>9.8000000000000007</v>
      </c>
      <c r="AB157" s="4">
        <v>9.94</v>
      </c>
      <c r="AC157" s="4">
        <v>9.3000000000000007</v>
      </c>
      <c r="AD157" s="4">
        <v>9.4499999999999993</v>
      </c>
      <c r="AE157" s="4">
        <v>9.06</v>
      </c>
      <c r="AF157" s="4">
        <v>9.1</v>
      </c>
      <c r="AG157" s="4">
        <v>9.16</v>
      </c>
      <c r="AH157" s="4">
        <v>8.98</v>
      </c>
      <c r="AI157" s="4">
        <v>8.83</v>
      </c>
      <c r="AJ157" s="4">
        <v>8.6999999999999993</v>
      </c>
      <c r="AK157" s="4">
        <v>8.59</v>
      </c>
      <c r="AL157" s="4">
        <v>8.8800000000000008</v>
      </c>
      <c r="AM157" s="4">
        <v>9</v>
      </c>
      <c r="AN157" s="4">
        <v>9.5</v>
      </c>
      <c r="AO157" s="4">
        <v>9.1999999999999993</v>
      </c>
      <c r="AP157" s="4">
        <v>9.9600000000000009</v>
      </c>
      <c r="AQ157" s="4">
        <v>9.9</v>
      </c>
      <c r="AR157" s="4">
        <v>9.82</v>
      </c>
      <c r="AS157" s="4">
        <v>9.9600000000000009</v>
      </c>
      <c r="AT157" s="4">
        <v>9.92</v>
      </c>
      <c r="AU157" s="4">
        <v>10.54</v>
      </c>
      <c r="AV157" s="4">
        <v>10.89</v>
      </c>
      <c r="AW157" s="4">
        <v>10.85</v>
      </c>
      <c r="AX157" s="4">
        <v>10.87</v>
      </c>
      <c r="AY157" s="12">
        <v>10.53</v>
      </c>
      <c r="AZ157" s="12">
        <v>11.25</v>
      </c>
      <c r="BA157" s="12">
        <v>11.55</v>
      </c>
      <c r="BB157" s="18">
        <v>11.55</v>
      </c>
      <c r="BC157" s="63">
        <v>13.15</v>
      </c>
      <c r="BD157" s="63">
        <v>13.92</v>
      </c>
      <c r="BE157" s="63">
        <v>14.49</v>
      </c>
      <c r="BF157" s="63">
        <v>14.64</v>
      </c>
      <c r="BG157" s="91" cm="1">
        <f t="array" aca="1" ref="BG157" ca="1">_FV(EE157,"Preço")</f>
        <v>14.98</v>
      </c>
      <c r="BH157" s="95" t="s">
        <v>154</v>
      </c>
      <c r="BI157" s="32" cm="1">
        <f t="array" aca="1" ref="BI157" ca="1">_FV(EE157,"Beta")</f>
        <v>1.0879000000000001</v>
      </c>
      <c r="BJ157" s="96" cm="1">
        <f t="array" aca="1" ref="BJ157" ca="1">_FV(EE157,"Variação (%)",TRUE)</f>
        <v>-2.663E-3</v>
      </c>
      <c r="BK157" s="72"/>
      <c r="BL157" s="72"/>
      <c r="BN157" s="32"/>
      <c r="BO157" s="20" cm="1">
        <f t="array" aca="1" ref="BO157" ca="1">_FV(EE157,"Baixo")</f>
        <v>14.88</v>
      </c>
      <c r="BP157" s="20" cm="1">
        <f t="array" aca="1" ref="BP157" ca="1">_FV(EE157,"Alto")</f>
        <v>15.09</v>
      </c>
      <c r="BQ157" s="32"/>
      <c r="BR157" s="74">
        <f ca="1">SQRT(22.5*(BG157/VLOOKUP(BH157,Fundamentus!A:U,3,FALSE))*(BG157/VLOOKUP(BH157,Fundamentus!A:U,4,FALSE)))</f>
        <v>7.8143027352346808</v>
      </c>
      <c r="BT157" s="73">
        <f t="shared" ca="1" si="158"/>
        <v>2.3224043715846986E-2</v>
      </c>
      <c r="BU157" s="36">
        <f t="shared" si="159"/>
        <v>0.23846153846153856</v>
      </c>
      <c r="BV157" s="8"/>
      <c r="BW157" s="72">
        <f t="shared" si="160"/>
        <v>8.59</v>
      </c>
      <c r="BX157" s="72">
        <f t="shared" si="161"/>
        <v>10.796379310344825</v>
      </c>
      <c r="BY157" s="72">
        <f t="shared" si="162"/>
        <v>14.64</v>
      </c>
      <c r="BZ157" s="17"/>
      <c r="CA157" s="17"/>
      <c r="CB157" s="43">
        <f t="shared" si="163"/>
        <v>14.113811436145882</v>
      </c>
      <c r="CC157" s="18">
        <f t="shared" si="164"/>
        <v>15.283683223992739</v>
      </c>
      <c r="CD157" s="43">
        <f t="shared" si="165"/>
        <v>16.453555011839594</v>
      </c>
      <c r="CE157" s="98">
        <f t="shared" ca="1" si="166"/>
        <v>-0.25958675741011411</v>
      </c>
      <c r="CF157" s="17"/>
      <c r="CG157" s="20">
        <f t="shared" si="167"/>
        <v>4.5566666666666684</v>
      </c>
      <c r="CH157" s="20">
        <f t="shared" si="168"/>
        <v>6.5733333333333341</v>
      </c>
      <c r="CI157" s="20">
        <f t="shared" si="169"/>
        <v>10.606666666666669</v>
      </c>
      <c r="CJ157" s="49">
        <f t="shared" si="170"/>
        <v>12.623333333333335</v>
      </c>
      <c r="CK157" s="20">
        <f t="shared" si="171"/>
        <v>16.65666666666667</v>
      </c>
      <c r="CL157" s="20">
        <f t="shared" si="172"/>
        <v>18.673333333333336</v>
      </c>
      <c r="CM157" s="20">
        <f t="shared" si="173"/>
        <v>22.706666666666671</v>
      </c>
      <c r="CN157" s="2" cm="1">
        <f t="array" aca="1" ref="CN157" ca="1">MAX(_xlfn._xlws.FILTER(CG157:CM157,CG157:CM157&lt;BG157))</f>
        <v>12.623333333333335</v>
      </c>
      <c r="CO157" s="2" cm="1">
        <f t="array" aca="1" ref="CO157" ca="1">MIN(_xlfn._xlws.FILTER($CG157:$CM157,$CG157:$CM157&gt;BG157))</f>
        <v>16.65666666666667</v>
      </c>
      <c r="CP157" s="19">
        <f t="shared" ca="1" si="183"/>
        <v>0.31951412727752837</v>
      </c>
      <c r="CQ157" s="23">
        <f t="shared" ca="1" si="184"/>
        <v>-0.15975706363876419</v>
      </c>
      <c r="CR157" s="23">
        <f t="shared" ca="1" si="185"/>
        <v>-0.10650470909250946</v>
      </c>
      <c r="CS157" s="23">
        <f t="shared" ca="1" si="186"/>
        <v>-6.3902825455505671E-2</v>
      </c>
      <c r="CT157" s="23">
        <f t="shared" ca="1" si="187"/>
        <v>-3.5501569697503149E-2</v>
      </c>
      <c r="CU157" s="23">
        <f t="shared" ca="1" si="188"/>
        <v>-1.879494866338402E-2</v>
      </c>
      <c r="CV157" s="23">
        <f t="shared" ca="1" si="189"/>
        <v>-9.6822462811372231E-3</v>
      </c>
      <c r="CW157" s="23">
        <f t="shared" ca="1" si="190"/>
        <v>-4.9156019581158214E-3</v>
      </c>
      <c r="CX157" s="24">
        <f t="shared" ca="1" si="191"/>
        <v>4.9156019581158214E-3</v>
      </c>
      <c r="CY157" s="24">
        <f t="shared" ca="1" si="192"/>
        <v>9.6822462811372231E-3</v>
      </c>
      <c r="CZ157" s="24">
        <f t="shared" ca="1" si="193"/>
        <v>1.879494866338402E-2</v>
      </c>
      <c r="DA157" s="24">
        <f t="shared" ca="1" si="194"/>
        <v>3.5501569697503149E-2</v>
      </c>
      <c r="DB157" s="24">
        <f t="shared" ca="1" si="195"/>
        <v>6.3902825455505671E-2</v>
      </c>
      <c r="DC157" s="24">
        <f t="shared" ca="1" si="196"/>
        <v>0.10650470909250946</v>
      </c>
      <c r="DD157" s="24">
        <f t="shared" ca="1" si="197"/>
        <v>0.15975706363876419</v>
      </c>
      <c r="DF157" s="19" cm="1">
        <f t="array" aca="1" ref="DF157" ca="1">MAX(_xlfn._xlws.FILTER(CQ157:DD157,CQ157:DD157&lt;BJ157))</f>
        <v>-4.9156019581158214E-3</v>
      </c>
      <c r="DG157" s="19" cm="1">
        <f t="array" aca="1" ref="DG157" ca="1">MIN(_xlfn._xlws.FILTER(CQ157:DD157,CQ157:DD157&gt;BJ157))</f>
        <v>4.9156019581158214E-3</v>
      </c>
      <c r="DH157" s="2" cm="1">
        <f t="array" aca="1" ref="DH157" ca="1">_FV(EE157,"Fechamento anterior",TRUE)</f>
        <v>15.02</v>
      </c>
      <c r="DI157" s="36">
        <f t="shared" ca="1" si="174"/>
        <v>0.22911599960383747</v>
      </c>
      <c r="DJ157" s="18">
        <f t="shared" ca="1" si="198"/>
        <v>14.946167658589101</v>
      </c>
      <c r="DK157" s="18">
        <f t="shared" ca="1" si="199"/>
        <v>15.093832341410899</v>
      </c>
      <c r="DL157" s="9"/>
      <c r="DM157" s="9"/>
      <c r="DN157" s="9"/>
      <c r="DO157" s="9"/>
      <c r="DP157" s="79">
        <v>2.0388091440723025E-2</v>
      </c>
      <c r="DQ157" s="79">
        <v>1.3545460353970999E-2</v>
      </c>
      <c r="DR157" s="79">
        <v>8.0688850227928384E-3</v>
      </c>
      <c r="DS157" s="79">
        <f t="shared" ca="1" si="175"/>
        <v>9.8312039162316428E-3</v>
      </c>
      <c r="DT157" s="47"/>
      <c r="DU157" s="43">
        <f t="shared" si="176"/>
        <v>0.58493589392342826</v>
      </c>
      <c r="DV157" s="83">
        <f t="shared" ca="1" si="177"/>
        <v>1.514</v>
      </c>
      <c r="DW157" s="83">
        <f t="shared" ca="1" si="178"/>
        <v>1.3542000000000001</v>
      </c>
      <c r="DX157" s="83">
        <f t="shared" ca="1" si="179"/>
        <v>0.15979999999999994</v>
      </c>
      <c r="DY157" s="67"/>
      <c r="DZ157" s="67"/>
      <c r="EA157" s="44" cm="1">
        <f t="array" aca="1" ref="EA157" ca="1">_FV(EE157,"Média de volume",TRUE)</f>
        <v>467730</v>
      </c>
      <c r="EB157" s="44">
        <v>299300</v>
      </c>
      <c r="EC157" s="44" cm="1">
        <f t="array" aca="1" ref="EC157" ca="1">_FV(EE157,"Volume")</f>
        <v>303100</v>
      </c>
      <c r="EE157" s="2" t="e" vm="159">
        <v>#VALUE!</v>
      </c>
      <c r="EG157" s="10" cm="1">
        <f t="array" aca="1" ref="EG157" ca="1">_FV(EE157,"Ações em circulação",TRUE)</f>
        <v>65492860</v>
      </c>
      <c r="EH157" s="21">
        <f>VLOOKUP(BH157,Fundamentus!A:U,5,FALSE)</f>
        <v>2.5470000000000002</v>
      </c>
      <c r="EI157" s="2">
        <f t="shared" ca="1" si="180"/>
        <v>385191614.76246566</v>
      </c>
      <c r="EJ157" s="20">
        <v>53832199.555241451</v>
      </c>
      <c r="EK157" s="20">
        <f t="shared" ca="1" si="181"/>
        <v>55082400.911032587</v>
      </c>
      <c r="EM157" s="40" t="str">
        <f>IF(VLOOKUP(BH157,Fundamentus!A:U,3,FALSE)&lt;15,"Bom",IF(VLOOKUP(BH157,Fundamentus!A:U,3,FALSE)&gt;15,"Ruim","n/a"))</f>
        <v>Ruim</v>
      </c>
      <c r="EN157" s="36" t="str">
        <f>IF(VLOOKUP(BH157,Fundamentus!A:U,4,FALSE)&lt;1,"Baixo",IF(VLOOKUP(BH157,Fundamentus!A:U,4,FALSE)&lt;1.5,"Moderado",IF(VLOOKUP(BH157,Fundamentus!A:U,4,FALSE)&gt;1.5,"Alto","n/a")))</f>
        <v>Alto</v>
      </c>
      <c r="EO157" s="20" t="str">
        <f>IF(VLOOKUP(BH157,Fundamentus!A:U,8,FALSE)&lt;0,"Risco elevado",IF(VLOOKUP(BH157,Fundamentus!A:U,8,FALSE)&lt;1,"Saudável",IF(VLOOKUP(BH157,Fundamentus!A:U,8,FALSE)&lt;3,"Estável",IF(VLOOKUP(BH157,Fundamentus!A:U,8,FALSE)&gt;3,"Alerta","n/a"))))</f>
        <v>Alerta</v>
      </c>
      <c r="EP157" s="36" t="str">
        <f t="shared" si="182"/>
        <v>Bom</v>
      </c>
      <c r="EQ157" s="20" t="str">
        <f>IF(VLOOKUP(BH157,Fundamentus!A:U,12,FALSE)&lt;2,"Subvalorizada",IF(VLOOKUP(BH157,Fundamentus!A:U,12,FALSE)&lt;6,"Muita barata",IF(VLOOKUP(BH157,Fundamentus!A:U,12,FALSE)&lt;6,"Barata",IF(VLOOKUP(BH157,Fundamentus!A:U,12,FALSE)&lt;8,"Atrativa",IF(VLOOKUP(BH157,Fundamentus!A:U,12,FALSE)&gt;8,"Supervalorizada","n/a")))))</f>
        <v>Supervalorizada</v>
      </c>
      <c r="ES157" s="20" t="str">
        <f>IF(VLOOKUP(BH157,Fundamentus!A:U,17,FALSE)&lt;0.1,"Fraco retorno",IF(VLOOKUP(BH157,Fundamentus!A:U,17,FALSE)&gt;0.1,"Bom retorno","n/a"))</f>
        <v>Bom retorno</v>
      </c>
      <c r="ET157" s="20" t="str">
        <f>IF(VLOOKUP(BH157,Fundamentus!A:U,16,FALSE)&lt;0.1,"Ineficiente",IF(VLOOKUP(BH157,Fundamentus!A:U,16,FALSE)&gt;0.1,"Eficiente","n/a"))</f>
        <v>Eficiente</v>
      </c>
      <c r="EU157" s="41" t="str">
        <f>IF(VLOOKUP(BH157,Fundamentus!A:U,16,FALSE)&lt;0.1,"Oper. Ineficiente",IF(VLOOKUP(BH157,Fundamentus!A:U,16,FALSE)&gt;0.1,"Oper.Eficiente","n/a"))</f>
        <v>Oper.Eficiente</v>
      </c>
      <c r="EV157" s="42">
        <f>VLOOKUP(BH157,Fundamentus!A:U,14,FALSE)</f>
        <v>0.14299999999999999</v>
      </c>
      <c r="EW157" s="20" t="str">
        <f>IF(VLOOKUP(BH157,Fundamentus!A:U,21,FALSE)&lt;0,"Negativo",IF(VLOOKUP(BH157,Fundamentus!A:U,21,FALSE)&lt;0.05,"Fraco",IF(VLOOKUP(BH157,Fundamentus!A:U,21,FALSE)&lt;0.1,"Bom",IF(VLOOKUP(BH157,Fundamentus!A:U,21,FALSE)&gt;0.1,"Muito bom","n/a"))))</f>
        <v>Muito bom</v>
      </c>
      <c r="EY157" s="37" t="str">
        <f>IF(VLOOKUP(BH157,Fundamentus!A:U,15,FALSE)&gt;1,"Bom",IF(VLOOKUP(BH157,Fundamentus!A:U,15,FALSE)&lt;1,"Ruim","n/a"))</f>
        <v>Bom</v>
      </c>
      <c r="EZ157" s="20" t="str">
        <f>IF(VLOOKUP(BH157,Fundamentus!A:U,20,FALSE)&lt;0.5,"Baixa",IF(VLOOKUP(BH157,Fundamentus!A:U,20,FALSE)&lt;1,"Moderada",IF(VLOOKUP(BH157,Fundamentus!A:U,20,FALSE)&lt;2,"Alerta",IF(VLOOKUP(BH157,Fundamentus!A:U,20,FALSE)&gt;2,"Alta","n/a"))))</f>
        <v>Baixa</v>
      </c>
      <c r="FA157" s="10"/>
    </row>
    <row r="158" spans="1:157" s="2" customFormat="1" ht="11.25" hidden="1" x14ac:dyDescent="0.2">
      <c r="A158" s="4">
        <v>12.76</v>
      </c>
      <c r="B158" s="4">
        <v>12.58</v>
      </c>
      <c r="C158" s="4">
        <v>12.75</v>
      </c>
      <c r="D158" s="4">
        <v>12.73</v>
      </c>
      <c r="E158" s="4">
        <v>12.44</v>
      </c>
      <c r="F158" s="4">
        <v>12.7</v>
      </c>
      <c r="G158" s="4">
        <v>12.5</v>
      </c>
      <c r="H158" s="4">
        <v>12.43</v>
      </c>
      <c r="I158" s="4">
        <v>12.63</v>
      </c>
      <c r="J158" s="4">
        <v>13.14</v>
      </c>
      <c r="K158" s="4">
        <v>13.39</v>
      </c>
      <c r="L158" s="4">
        <v>12.56</v>
      </c>
      <c r="M158" s="4">
        <v>12.86</v>
      </c>
      <c r="N158" s="4">
        <v>12.56</v>
      </c>
      <c r="O158" s="4">
        <v>13.16</v>
      </c>
      <c r="P158" s="4">
        <v>13.61</v>
      </c>
      <c r="Q158" s="4">
        <v>13.72</v>
      </c>
      <c r="R158" s="4">
        <v>13.13</v>
      </c>
      <c r="S158" s="4">
        <v>13.86</v>
      </c>
      <c r="T158" s="4">
        <v>14.07</v>
      </c>
      <c r="U158" s="4">
        <v>14</v>
      </c>
      <c r="V158" s="4">
        <v>14.01</v>
      </c>
      <c r="W158" s="4">
        <v>14.1</v>
      </c>
      <c r="X158" s="4">
        <v>13.93</v>
      </c>
      <c r="Y158" s="4">
        <v>13.95</v>
      </c>
      <c r="Z158" s="4">
        <v>13.38</v>
      </c>
      <c r="AA158" s="4">
        <v>12.66</v>
      </c>
      <c r="AB158" s="4">
        <v>12.29</v>
      </c>
      <c r="AC158" s="4">
        <v>12</v>
      </c>
      <c r="AD158" s="4">
        <v>11.97</v>
      </c>
      <c r="AE158" s="4">
        <v>11.5</v>
      </c>
      <c r="AF158" s="4">
        <v>11.54</v>
      </c>
      <c r="AG158" s="4">
        <v>11.49</v>
      </c>
      <c r="AH158" s="4">
        <v>10.76</v>
      </c>
      <c r="AI158" s="4">
        <v>10.54</v>
      </c>
      <c r="AJ158" s="4">
        <v>10.07</v>
      </c>
      <c r="AK158" s="4">
        <v>10.69</v>
      </c>
      <c r="AL158" s="4">
        <v>10.83</v>
      </c>
      <c r="AM158" s="4">
        <v>10.81</v>
      </c>
      <c r="AN158" s="4">
        <v>11.8</v>
      </c>
      <c r="AO158" s="4">
        <v>11.65</v>
      </c>
      <c r="AP158" s="4">
        <v>12.24</v>
      </c>
      <c r="AQ158" s="4">
        <v>12.16</v>
      </c>
      <c r="AR158" s="4">
        <v>11.78</v>
      </c>
      <c r="AS158" s="4">
        <v>12.13</v>
      </c>
      <c r="AT158" s="4">
        <v>12.59</v>
      </c>
      <c r="AU158" s="4">
        <v>12.24</v>
      </c>
      <c r="AV158" s="4">
        <v>11.9</v>
      </c>
      <c r="AW158" s="4">
        <v>11.92</v>
      </c>
      <c r="AX158" s="4">
        <v>12.44</v>
      </c>
      <c r="AY158" s="12">
        <v>12.47</v>
      </c>
      <c r="AZ158" s="12">
        <v>13.27</v>
      </c>
      <c r="BA158" s="12">
        <v>13.51</v>
      </c>
      <c r="BB158" s="18">
        <v>14.08</v>
      </c>
      <c r="BC158" s="63">
        <v>14.5</v>
      </c>
      <c r="BD158" s="63">
        <v>14.17</v>
      </c>
      <c r="BE158" s="63">
        <v>13.97</v>
      </c>
      <c r="BF158" s="63">
        <v>13.85</v>
      </c>
      <c r="BG158" s="91" cm="1">
        <f t="array" aca="1" ref="BG158" ca="1">_FV(EE158,"Preço")</f>
        <v>13.57</v>
      </c>
      <c r="BH158" s="93" t="s">
        <v>155</v>
      </c>
      <c r="BI158" s="32" cm="1">
        <f t="array" aca="1" ref="BI158" ca="1">_FV(EE158,"Beta")</f>
        <v>0.88849999999999996</v>
      </c>
      <c r="BJ158" s="96" cm="1">
        <f t="array" aca="1" ref="BJ158" ca="1">_FV(EE158,"Variação (%)",TRUE)</f>
        <v>-8.7660000000000012E-3</v>
      </c>
      <c r="BK158" s="49"/>
      <c r="BL158" s="49"/>
      <c r="BN158" s="32"/>
      <c r="BO158" s="20" cm="1">
        <f t="array" aca="1" ref="BO158" ca="1">_FV(EE158,"Baixo")</f>
        <v>13.5</v>
      </c>
      <c r="BP158" s="20" cm="1">
        <f t="array" aca="1" ref="BP158" ca="1">_FV(EE158,"Alto")</f>
        <v>13.76</v>
      </c>
      <c r="BQ158" s="32"/>
      <c r="BR158" s="74">
        <f ca="1">SQRT(22.5*(BG158/VLOOKUP(BH158,Fundamentus!A:U,3,FALSE))*(BG158/VLOOKUP(BH158,Fundamentus!A:U,4,FALSE)))</f>
        <v>7.2954599360474388</v>
      </c>
      <c r="BT158" s="73">
        <f t="shared" ca="1" si="158"/>
        <v>-2.02166064981949E-2</v>
      </c>
      <c r="BU158" s="36">
        <f t="shared" si="159"/>
        <v>9.4827586206896616E-2</v>
      </c>
      <c r="BV158" s="8"/>
      <c r="BW158" s="72">
        <f t="shared" si="160"/>
        <v>10.07</v>
      </c>
      <c r="BX158" s="72">
        <f t="shared" si="161"/>
        <v>12.63396551724138</v>
      </c>
      <c r="BY158" s="72">
        <f t="shared" si="162"/>
        <v>14.5</v>
      </c>
      <c r="BZ158" s="17"/>
      <c r="CA158" s="17"/>
      <c r="CB158" s="43">
        <f t="shared" si="163"/>
        <v>13.10443978638518</v>
      </c>
      <c r="CC158" s="18">
        <f t="shared" si="164"/>
        <v>13.596654170571583</v>
      </c>
      <c r="CD158" s="43">
        <f t="shared" si="165"/>
        <v>14.088868554757985</v>
      </c>
      <c r="CE158" s="98">
        <f t="shared" ca="1" si="166"/>
        <v>-5.4151547431186796E-2</v>
      </c>
      <c r="CF158" s="17"/>
      <c r="CG158" s="20">
        <f t="shared" si="167"/>
        <v>6.6833333333333336</v>
      </c>
      <c r="CH158" s="20">
        <f t="shared" si="168"/>
        <v>8.3766666666666669</v>
      </c>
      <c r="CI158" s="20">
        <f t="shared" si="169"/>
        <v>11.113333333333333</v>
      </c>
      <c r="CJ158" s="49">
        <f t="shared" si="170"/>
        <v>12.806666666666667</v>
      </c>
      <c r="CK158" s="20">
        <f t="shared" si="171"/>
        <v>15.543333333333333</v>
      </c>
      <c r="CL158" s="20">
        <f t="shared" si="172"/>
        <v>17.236666666666665</v>
      </c>
      <c r="CM158" s="20">
        <f t="shared" si="173"/>
        <v>19.973333333333333</v>
      </c>
      <c r="CN158" s="2" cm="1">
        <f t="array" aca="1" ref="CN158" ca="1">MAX(_xlfn._xlws.FILTER(CG158:CM158,CG158:CM158&lt;BG158))</f>
        <v>12.806666666666667</v>
      </c>
      <c r="CO158" s="2" cm="1">
        <f t="array" aca="1" ref="CO158" ca="1">MIN(_xlfn._xlws.FILTER($CG158:$CM158,$CG158:$CM158&gt;BG158))</f>
        <v>15.543333333333333</v>
      </c>
      <c r="CP158" s="19">
        <f t="shared" ca="1" si="183"/>
        <v>0.21369078604893277</v>
      </c>
      <c r="CQ158" s="23">
        <f t="shared" ca="1" si="184"/>
        <v>-0.10684539302446638</v>
      </c>
      <c r="CR158" s="23">
        <f t="shared" ca="1" si="185"/>
        <v>-7.1230262016310927E-2</v>
      </c>
      <c r="CS158" s="23">
        <f t="shared" ca="1" si="186"/>
        <v>-4.2738157209786555E-2</v>
      </c>
      <c r="CT158" s="23">
        <f t="shared" ca="1" si="187"/>
        <v>-2.3743420672103641E-2</v>
      </c>
      <c r="CU158" s="23">
        <f t="shared" ca="1" si="188"/>
        <v>-1.2570046238172516E-2</v>
      </c>
      <c r="CV158" s="23">
        <f t="shared" ca="1" si="189"/>
        <v>-6.4754783651191751E-3</v>
      </c>
      <c r="CW158" s="23">
        <f t="shared" ca="1" si="190"/>
        <v>-3.2875505545989655E-3</v>
      </c>
      <c r="CX158" s="24">
        <f t="shared" ca="1" si="191"/>
        <v>3.2875505545989655E-3</v>
      </c>
      <c r="CY158" s="24">
        <f t="shared" ca="1" si="192"/>
        <v>6.4754783651191751E-3</v>
      </c>
      <c r="CZ158" s="24">
        <f t="shared" ca="1" si="193"/>
        <v>1.2570046238172516E-2</v>
      </c>
      <c r="DA158" s="24">
        <f t="shared" ca="1" si="194"/>
        <v>2.3743420672103641E-2</v>
      </c>
      <c r="DB158" s="24">
        <f t="shared" ca="1" si="195"/>
        <v>4.2738157209786555E-2</v>
      </c>
      <c r="DC158" s="24">
        <f t="shared" ca="1" si="196"/>
        <v>7.1230262016310927E-2</v>
      </c>
      <c r="DD158" s="24">
        <f t="shared" ca="1" si="197"/>
        <v>0.10684539302446638</v>
      </c>
      <c r="DF158" s="19" cm="1">
        <f t="array" aca="1" ref="DF158" ca="1">MAX(_xlfn._xlws.FILTER(CQ158:DD158,CQ158:DD158&lt;BJ158))</f>
        <v>-1.2570046238172516E-2</v>
      </c>
      <c r="DG158" s="19" cm="1">
        <f t="array" aca="1" ref="DG158" ca="1">MIN(_xlfn._xlws.FILTER(CQ158:DD158,CQ158:DD158&gt;BJ158))</f>
        <v>-6.4754783651191751E-3</v>
      </c>
      <c r="DH158" s="2" cm="1">
        <f t="array" aca="1" ref="DH158" ca="1">_FV(EE158,"Fechamento anterior",TRUE)</f>
        <v>13.69</v>
      </c>
      <c r="DI158" s="36">
        <f t="shared" ca="1" si="174"/>
        <v>0.62424835335056217</v>
      </c>
      <c r="DJ158" s="18">
        <f t="shared" ca="1" si="198"/>
        <v>13.517916066999417</v>
      </c>
      <c r="DK158" s="18">
        <f t="shared" ca="1" si="199"/>
        <v>13.601350701181518</v>
      </c>
      <c r="DL158" s="9"/>
      <c r="DM158" s="9"/>
      <c r="DN158" s="9"/>
      <c r="DO158" s="9"/>
      <c r="DP158" s="79">
        <v>1.6953894692978547E-2</v>
      </c>
      <c r="DQ158" s="79">
        <v>9.9728792311638489E-3</v>
      </c>
      <c r="DR158" s="79">
        <v>2.8454088995208747E-3</v>
      </c>
      <c r="DS158" s="79">
        <f t="shared" ca="1" si="175"/>
        <v>6.0945678730533409E-3</v>
      </c>
      <c r="DT158" s="47"/>
      <c r="DU158" s="43">
        <f t="shared" si="176"/>
        <v>0.24610719209320153</v>
      </c>
      <c r="DV158" s="83">
        <f t="shared" ca="1" si="177"/>
        <v>1.3146</v>
      </c>
      <c r="DW158" s="83">
        <f t="shared" ca="1" si="178"/>
        <v>1.7651000000000001</v>
      </c>
      <c r="DX158" s="83">
        <f t="shared" ca="1" si="179"/>
        <v>-0.45050000000000012</v>
      </c>
      <c r="DY158" s="67"/>
      <c r="DZ158" s="67"/>
      <c r="EA158" s="85"/>
      <c r="EB158" s="44">
        <v>9549500</v>
      </c>
      <c r="EC158" s="44" cm="1">
        <f t="array" aca="1" ref="EC158" ca="1">_FV(EE158,"Volume")</f>
        <v>6420700</v>
      </c>
      <c r="EE158" s="2" t="e" vm="160">
        <v>#VALUE!</v>
      </c>
      <c r="EG158" s="10" cm="1">
        <f t="array" aca="1" ref="EG158" ca="1">_FV(EE158,"Ações em circulação",TRUE)</f>
        <v>1932592000</v>
      </c>
      <c r="EH158" s="21">
        <f>VLOOKUP(BH158,Fundamentus!A:U,5,FALSE)</f>
        <v>1.9490000000000001</v>
      </c>
      <c r="EI158" s="2">
        <f t="shared" ca="1" si="180"/>
        <v>13455758563.365828</v>
      </c>
      <c r="EJ158" s="20">
        <v>946231351.91380203</v>
      </c>
      <c r="EK158" s="20">
        <f t="shared" ca="1" si="181"/>
        <v>927101765.0159055</v>
      </c>
      <c r="EM158" s="40" t="str">
        <f>IF(VLOOKUP(BH158,Fundamentus!A:U,3,FALSE)&lt;15,"Bom",IF(VLOOKUP(BH158,Fundamentus!A:U,3,FALSE)&gt;15,"Ruim","n/a"))</f>
        <v>Ruim</v>
      </c>
      <c r="EN158" s="36" t="str">
        <f>IF(VLOOKUP(BH158,Fundamentus!A:U,4,FALSE)&lt;1,"Baixo",IF(VLOOKUP(BH158,Fundamentus!A:U,4,FALSE)&lt;1.5,"Moderado",IF(VLOOKUP(BH158,Fundamentus!A:U,4,FALSE)&gt;1.5,"Alto","n/a")))</f>
        <v>Moderado</v>
      </c>
      <c r="EO158" s="20" t="str">
        <f>IF(VLOOKUP(BH158,Fundamentus!A:U,8,FALSE)&lt;0,"Risco elevado",IF(VLOOKUP(BH158,Fundamentus!A:U,8,FALSE)&lt;1,"Saudável",IF(VLOOKUP(BH158,Fundamentus!A:U,8,FALSE)&lt;3,"Estável",IF(VLOOKUP(BH158,Fundamentus!A:U,8,FALSE)&gt;3,"Alerta","n/a"))))</f>
        <v>Alerta</v>
      </c>
      <c r="EP158" s="36" t="str">
        <f t="shared" si="182"/>
        <v>Bom</v>
      </c>
      <c r="EQ158" s="20" t="str">
        <f>IF(VLOOKUP(BH158,Fundamentus!A:U,12,FALSE)&lt;2,"Subvalorizada",IF(VLOOKUP(BH158,Fundamentus!A:U,12,FALSE)&lt;6,"Muita barata",IF(VLOOKUP(BH158,Fundamentus!A:U,12,FALSE)&lt;6,"Barata",IF(VLOOKUP(BH158,Fundamentus!A:U,12,FALSE)&lt;8,"Atrativa",IF(VLOOKUP(BH158,Fundamentus!A:U,12,FALSE)&gt;8,"Supervalorizada","n/a")))))</f>
        <v>Supervalorizada</v>
      </c>
      <c r="ES158" s="20" t="str">
        <f>IF(VLOOKUP(BH158,Fundamentus!A:U,17,FALSE)&lt;0.1,"Fraco retorno",IF(VLOOKUP(BH158,Fundamentus!A:U,17,FALSE)&gt;0.1,"Bom retorno","n/a"))</f>
        <v>Fraco retorno</v>
      </c>
      <c r="ET158" s="20" t="str">
        <f>IF(VLOOKUP(BH158,Fundamentus!A:U,16,FALSE)&lt;0.1,"Ineficiente",IF(VLOOKUP(BH158,Fundamentus!A:U,16,FALSE)&gt;0.1,"Eficiente","n/a"))</f>
        <v>Ineficiente</v>
      </c>
      <c r="EU158" s="41" t="str">
        <f>IF(VLOOKUP(BH158,Fundamentus!A:U,16,FALSE)&lt;0.1,"Oper. Ineficiente",IF(VLOOKUP(BH158,Fundamentus!A:U,16,FALSE)&gt;0.1,"Oper.Eficiente","n/a"))</f>
        <v>Oper. Ineficiente</v>
      </c>
      <c r="EV158" s="42">
        <f>VLOOKUP(BH158,Fundamentus!A:U,14,FALSE)</f>
        <v>6.8900000000000003E-2</v>
      </c>
      <c r="EW158" s="20" t="str">
        <f>IF(VLOOKUP(BH158,Fundamentus!A:U,21,FALSE)&lt;0,"Negativo",IF(VLOOKUP(BH158,Fundamentus!A:U,21,FALSE)&lt;0.05,"Fraco",IF(VLOOKUP(BH158,Fundamentus!A:U,21,FALSE)&lt;0.1,"Bom",IF(VLOOKUP(BH158,Fundamentus!A:U,21,FALSE)&gt;0.1,"Muito bom","n/a"))))</f>
        <v>Muito bom</v>
      </c>
      <c r="EY158" s="37" t="str">
        <f>IF(VLOOKUP(BH158,Fundamentus!A:U,15,FALSE)&gt;1,"Bom",IF(VLOOKUP(BH158,Fundamentus!A:U,15,FALSE)&lt;1,"Ruim","n/a"))</f>
        <v>Bom</v>
      </c>
      <c r="EZ158" s="20" t="str">
        <f>IF(VLOOKUP(BH158,Fundamentus!A:U,20,FALSE)&lt;0.5,"Baixa",IF(VLOOKUP(BH158,Fundamentus!A:U,20,FALSE)&lt;1,"Moderada",IF(VLOOKUP(BH158,Fundamentus!A:U,20,FALSE)&lt;2,"Alerta",IF(VLOOKUP(BH158,Fundamentus!A:U,20,FALSE)&gt;2,"Alta","n/a"))))</f>
        <v>Alerta</v>
      </c>
      <c r="FA158" s="10"/>
    </row>
    <row r="159" spans="1:157" s="2" customFormat="1" ht="11.25" hidden="1" x14ac:dyDescent="0.2">
      <c r="A159" s="4">
        <v>4.95</v>
      </c>
      <c r="B159" s="4">
        <v>5.0599999999999996</v>
      </c>
      <c r="C159" s="4">
        <v>4.92</v>
      </c>
      <c r="D159" s="4">
        <v>5.09</v>
      </c>
      <c r="E159" s="4">
        <v>5.01</v>
      </c>
      <c r="F159" s="4">
        <v>5.71</v>
      </c>
      <c r="G159" s="4">
        <v>5.29</v>
      </c>
      <c r="H159" s="4">
        <v>5.07</v>
      </c>
      <c r="I159" s="4">
        <v>4.9800000000000004</v>
      </c>
      <c r="J159" s="4">
        <v>5.0199999999999996</v>
      </c>
      <c r="K159" s="4">
        <v>5.08</v>
      </c>
      <c r="L159" s="4">
        <v>4.54</v>
      </c>
      <c r="M159" s="4">
        <v>4.4000000000000004</v>
      </c>
      <c r="N159" s="4">
        <v>4.2</v>
      </c>
      <c r="O159" s="4">
        <v>4.25</v>
      </c>
      <c r="P159" s="4">
        <v>5.08</v>
      </c>
      <c r="Q159" s="4">
        <v>6</v>
      </c>
      <c r="R159" s="4">
        <v>6.4</v>
      </c>
      <c r="S159" s="4">
        <v>8.0500000000000007</v>
      </c>
      <c r="T159" s="4">
        <v>8.0399999999999991</v>
      </c>
      <c r="U159" s="4">
        <v>7.71</v>
      </c>
      <c r="V159" s="4">
        <v>7.01</v>
      </c>
      <c r="W159" s="4">
        <v>6.61</v>
      </c>
      <c r="X159" s="4">
        <v>6.35</v>
      </c>
      <c r="Y159" s="4">
        <v>6.29</v>
      </c>
      <c r="Z159" s="4">
        <v>6</v>
      </c>
      <c r="AA159" s="4">
        <v>5.01</v>
      </c>
      <c r="AB159" s="4">
        <v>4.92</v>
      </c>
      <c r="AC159" s="4">
        <v>4.33</v>
      </c>
      <c r="AD159" s="4">
        <v>4.3499999999999996</v>
      </c>
      <c r="AE159" s="4">
        <v>4.34</v>
      </c>
      <c r="AF159" s="4">
        <v>4.3600000000000003</v>
      </c>
      <c r="AG159" s="4">
        <v>4.25</v>
      </c>
      <c r="AH159" s="4">
        <v>4.25</v>
      </c>
      <c r="AI159" s="4">
        <v>3.97</v>
      </c>
      <c r="AJ159" s="4">
        <v>4</v>
      </c>
      <c r="AK159" s="4">
        <v>4.05</v>
      </c>
      <c r="AL159" s="4">
        <v>3.95</v>
      </c>
      <c r="AM159" s="4">
        <v>3.94</v>
      </c>
      <c r="AN159" s="4">
        <v>4.13</v>
      </c>
      <c r="AO159" s="4">
        <v>4.0199999999999996</v>
      </c>
      <c r="AP159" s="4">
        <v>4.07</v>
      </c>
      <c r="AQ159" s="4">
        <v>3.79</v>
      </c>
      <c r="AR159" s="4">
        <v>4.03</v>
      </c>
      <c r="AS159" s="4">
        <v>4.12</v>
      </c>
      <c r="AT159" s="4">
        <v>4.07</v>
      </c>
      <c r="AU159" s="4">
        <v>4.5199999999999996</v>
      </c>
      <c r="AV159" s="4">
        <v>4.55</v>
      </c>
      <c r="AW159" s="4">
        <v>4.83</v>
      </c>
      <c r="AX159" s="4">
        <v>4.58</v>
      </c>
      <c r="AY159" s="12">
        <v>4.67</v>
      </c>
      <c r="AZ159" s="12">
        <v>5.15</v>
      </c>
      <c r="BA159" s="12">
        <v>5</v>
      </c>
      <c r="BB159" s="18">
        <v>5</v>
      </c>
      <c r="BC159" s="63">
        <v>5.55</v>
      </c>
      <c r="BD159" s="63">
        <v>6.26</v>
      </c>
      <c r="BE159" s="63">
        <v>6.2</v>
      </c>
      <c r="BF159" s="63">
        <v>6.78</v>
      </c>
      <c r="BG159" s="91" cm="1">
        <f t="array" aca="1" ref="BG159" ca="1">_FV(EE159,"Preço")</f>
        <v>7.02</v>
      </c>
      <c r="BH159" s="93" t="s">
        <v>156</v>
      </c>
      <c r="BI159" s="32" cm="1">
        <f t="array" aca="1" ref="BI159" ca="1">_FV(EE159,"Beta")</f>
        <v>2.1985999999999999</v>
      </c>
      <c r="BJ159" s="96" cm="1">
        <f t="array" aca="1" ref="BJ159" ca="1">_FV(EE159,"Variação (%)",TRUE)</f>
        <v>-1.4045E-2</v>
      </c>
      <c r="BK159" s="49"/>
      <c r="BL159" s="49"/>
      <c r="BN159" s="32"/>
      <c r="BO159" s="20" cm="1">
        <f t="array" aca="1" ref="BO159" ca="1">_FV(EE159,"Baixo")</f>
        <v>6.85</v>
      </c>
      <c r="BP159" s="20" cm="1">
        <f t="array" aca="1" ref="BP159" ca="1">_FV(EE159,"Alto")</f>
        <v>7.17</v>
      </c>
      <c r="BQ159" s="32"/>
      <c r="BR159" s="74">
        <f ca="1">SQRT(22.5*(BG159/VLOOKUP(BH159,Fundamentus!A:U,3,FALSE))*(BG159/VLOOKUP(BH159,Fundamentus!A:U,4,FALSE)))</f>
        <v>51.639987526027852</v>
      </c>
      <c r="BT159" s="73">
        <f t="shared" ca="1" si="158"/>
        <v>3.5398230088495478E-2</v>
      </c>
      <c r="BU159" s="36">
        <f t="shared" si="159"/>
        <v>0.25252525252525254</v>
      </c>
      <c r="BV159" s="8"/>
      <c r="BW159" s="72">
        <f t="shared" si="160"/>
        <v>3.79</v>
      </c>
      <c r="BX159" s="72">
        <f t="shared" si="161"/>
        <v>5.0715517241379304</v>
      </c>
      <c r="BY159" s="72">
        <f t="shared" si="162"/>
        <v>8.0500000000000007</v>
      </c>
      <c r="BZ159" s="17"/>
      <c r="CA159" s="17"/>
      <c r="CB159" s="43">
        <f t="shared" si="163"/>
        <v>6.2127999808332754</v>
      </c>
      <c r="CC159" s="18">
        <f t="shared" si="164"/>
        <v>7.0859981255862294</v>
      </c>
      <c r="CD159" s="43">
        <f t="shared" si="165"/>
        <v>7.9591962703391834</v>
      </c>
      <c r="CE159" s="98">
        <f t="shared" ca="1" si="166"/>
        <v>-7.5582072617552468E-2</v>
      </c>
      <c r="CF159" s="17"/>
      <c r="CG159" s="20">
        <f t="shared" si="167"/>
        <v>0.10333333333333261</v>
      </c>
      <c r="CH159" s="20">
        <f t="shared" si="168"/>
        <v>1.9466666666666663</v>
      </c>
      <c r="CI159" s="20">
        <f t="shared" si="169"/>
        <v>4.3633333333333333</v>
      </c>
      <c r="CJ159" s="49">
        <f t="shared" si="170"/>
        <v>6.206666666666667</v>
      </c>
      <c r="CK159" s="20">
        <f t="shared" si="171"/>
        <v>8.6233333333333348</v>
      </c>
      <c r="CL159" s="20">
        <f t="shared" si="172"/>
        <v>10.466666666666669</v>
      </c>
      <c r="CM159" s="20">
        <f t="shared" si="173"/>
        <v>12.883333333333335</v>
      </c>
      <c r="CN159" s="2" cm="1">
        <f t="array" aca="1" ref="CN159" ca="1">MAX(_xlfn._xlws.FILTER(CG159:CM159,CG159:CM159&lt;BG159))</f>
        <v>6.206666666666667</v>
      </c>
      <c r="CO159" s="2" cm="1">
        <f t="array" aca="1" ref="CO159" ca="1">MIN(_xlfn._xlws.FILTER($CG159:$CM159,$CG159:$CM159&gt;BG159))</f>
        <v>8.6233333333333348</v>
      </c>
      <c r="CP159" s="19">
        <f t="shared" ca="1" si="183"/>
        <v>0.38936627282491965</v>
      </c>
      <c r="CQ159" s="23">
        <f t="shared" ca="1" si="184"/>
        <v>-0.19468313641245982</v>
      </c>
      <c r="CR159" s="23">
        <f t="shared" ca="1" si="185"/>
        <v>-0.12978875760830655</v>
      </c>
      <c r="CS159" s="23">
        <f t="shared" ca="1" si="186"/>
        <v>-7.7873254564983924E-2</v>
      </c>
      <c r="CT159" s="23">
        <f t="shared" ca="1" si="187"/>
        <v>-4.3262919202768847E-2</v>
      </c>
      <c r="CU159" s="23">
        <f t="shared" ca="1" si="188"/>
        <v>-2.2903898401465863E-2</v>
      </c>
      <c r="CV159" s="23">
        <f t="shared" ca="1" si="189"/>
        <v>-1.1798977964391505E-2</v>
      </c>
      <c r="CW159" s="23">
        <f t="shared" ca="1" si="190"/>
        <v>-5.9902503511526095E-3</v>
      </c>
      <c r="CX159" s="24">
        <f t="shared" ca="1" si="191"/>
        <v>5.9902503511526095E-3</v>
      </c>
      <c r="CY159" s="24">
        <f t="shared" ca="1" si="192"/>
        <v>1.1798977964391505E-2</v>
      </c>
      <c r="CZ159" s="24">
        <f t="shared" ca="1" si="193"/>
        <v>2.2903898401465863E-2</v>
      </c>
      <c r="DA159" s="24">
        <f t="shared" ca="1" si="194"/>
        <v>4.3262919202768847E-2</v>
      </c>
      <c r="DB159" s="24">
        <f t="shared" ca="1" si="195"/>
        <v>7.7873254564983924E-2</v>
      </c>
      <c r="DC159" s="24">
        <f t="shared" ca="1" si="196"/>
        <v>0.12978875760830655</v>
      </c>
      <c r="DD159" s="24">
        <f t="shared" ca="1" si="197"/>
        <v>0.19468313641245982</v>
      </c>
      <c r="DF159" s="19" cm="1">
        <f t="array" aca="1" ref="DF159" ca="1">MAX(_xlfn._xlws.FILTER(CQ159:DD159,CQ159:DD159&lt;BJ159))</f>
        <v>-2.2903898401465863E-2</v>
      </c>
      <c r="DG159" s="19" cm="1">
        <f t="array" aca="1" ref="DG159" ca="1">MIN(_xlfn._xlws.FILTER(CQ159:DD159,CQ159:DD159&gt;BJ159))</f>
        <v>-1.1798977964391505E-2</v>
      </c>
      <c r="DH159" s="2" cm="1">
        <f t="array" aca="1" ref="DH159" ca="1">_FV(EE159,"Fechamento anterior",TRUE)</f>
        <v>7.12</v>
      </c>
      <c r="DI159" s="36">
        <f t="shared" ca="1" si="174"/>
        <v>0.79775038744672488</v>
      </c>
      <c r="DJ159" s="18">
        <f t="shared" ca="1" si="198"/>
        <v>6.9569242433815628</v>
      </c>
      <c r="DK159" s="18">
        <f t="shared" ca="1" si="199"/>
        <v>7.0359912768935322</v>
      </c>
      <c r="DL159" s="9"/>
      <c r="DM159" s="9"/>
      <c r="DN159" s="9"/>
      <c r="DO159" s="9"/>
      <c r="DP159" s="79">
        <v>6.9376693766937697E-2</v>
      </c>
      <c r="DQ159" s="79">
        <v>4.8158313792619912E-3</v>
      </c>
      <c r="DR159" s="79">
        <v>2.869432863476936E-2</v>
      </c>
      <c r="DS159" s="79">
        <f t="shared" ca="1" si="175"/>
        <v>1.1104920437074358E-2</v>
      </c>
      <c r="DT159" s="47"/>
      <c r="DU159" s="43">
        <f t="shared" si="176"/>
        <v>0.43659907237647688</v>
      </c>
      <c r="DV159" s="83">
        <f t="shared" ca="1" si="177"/>
        <v>2.6246999999999998</v>
      </c>
      <c r="DW159" s="83">
        <f t="shared" ca="1" si="178"/>
        <v>3.6031</v>
      </c>
      <c r="DX159" s="83">
        <f t="shared" ca="1" si="179"/>
        <v>-0.97840000000000016</v>
      </c>
      <c r="DY159" s="67"/>
      <c r="DZ159" s="67"/>
      <c r="EA159" s="85"/>
      <c r="EB159" s="44">
        <v>2350600</v>
      </c>
      <c r="EC159" s="44" cm="1">
        <f t="array" aca="1" ref="EC159" ca="1">_FV(EE159,"Volume")</f>
        <v>463900</v>
      </c>
      <c r="EE159" s="2" t="e" vm="161">
        <v>#VALUE!</v>
      </c>
      <c r="EG159" s="10" cm="1">
        <f t="array" aca="1" ref="EG159" ca="1">_FV(EE159,"Ações em circulação",TRUE)</f>
        <v>372555300</v>
      </c>
      <c r="EH159" s="21">
        <f>VLOOKUP(BH159,Fundamentus!A:U,5,FALSE)</f>
        <v>0.156</v>
      </c>
      <c r="EI159" s="2">
        <f t="shared" ca="1" si="180"/>
        <v>16764988500</v>
      </c>
      <c r="EJ159" s="20">
        <v>2561546952.3000002</v>
      </c>
      <c r="EK159" s="20">
        <f t="shared" ca="1" si="181"/>
        <v>2652221180.7000003</v>
      </c>
      <c r="EM159" s="40" t="str">
        <f>IF(VLOOKUP(BH159,Fundamentus!A:U,3,FALSE)&lt;15,"Bom",IF(VLOOKUP(BH159,Fundamentus!A:U,3,FALSE)&gt;15,"Ruim","n/a"))</f>
        <v>Bom</v>
      </c>
      <c r="EN159" s="36" t="str">
        <f>IF(VLOOKUP(BH159,Fundamentus!A:U,4,FALSE)&lt;1,"Baixo",IF(VLOOKUP(BH159,Fundamentus!A:U,4,FALSE)&lt;1.5,"Moderado",IF(VLOOKUP(BH159,Fundamentus!A:U,4,FALSE)&gt;1.5,"Alto","n/a")))</f>
        <v>Baixo</v>
      </c>
      <c r="EO159" s="20" t="str">
        <f>IF(VLOOKUP(BH159,Fundamentus!A:U,8,FALSE)&lt;0,"Risco elevado",IF(VLOOKUP(BH159,Fundamentus!A:U,8,FALSE)&lt;1,"Saudável",IF(VLOOKUP(BH159,Fundamentus!A:U,8,FALSE)&lt;3,"Estável",IF(VLOOKUP(BH159,Fundamentus!A:U,8,FALSE)&gt;3,"Alerta","n/a"))))</f>
        <v>Saudável</v>
      </c>
      <c r="EP159" s="36" t="str">
        <f t="shared" si="182"/>
        <v>Ruim</v>
      </c>
      <c r="EQ159" s="20" t="str">
        <f>IF(VLOOKUP(BH159,Fundamentus!A:U,12,FALSE)&lt;2,"Subvalorizada",IF(VLOOKUP(BH159,Fundamentus!A:U,12,FALSE)&lt;6,"Muita barata",IF(VLOOKUP(BH159,Fundamentus!A:U,12,FALSE)&lt;6,"Barata",IF(VLOOKUP(BH159,Fundamentus!A:U,12,FALSE)&lt;8,"Atrativa",IF(VLOOKUP(BH159,Fundamentus!A:U,12,FALSE)&gt;8,"Supervalorizada","n/a")))))</f>
        <v>Muita barata</v>
      </c>
      <c r="ES159" s="20" t="str">
        <f>IF(VLOOKUP(BH159,Fundamentus!A:U,17,FALSE)&lt;0.1,"Fraco retorno",IF(VLOOKUP(BH159,Fundamentus!A:U,17,FALSE)&gt;0.1,"Bom retorno","n/a"))</f>
        <v>Bom retorno</v>
      </c>
      <c r="ET159" s="20" t="str">
        <f>IF(VLOOKUP(BH159,Fundamentus!A:U,16,FALSE)&lt;0.1,"Ineficiente",IF(VLOOKUP(BH159,Fundamentus!A:U,16,FALSE)&gt;0.1,"Eficiente","n/a"))</f>
        <v>Ineficiente</v>
      </c>
      <c r="EU159" s="41" t="str">
        <f>IF(VLOOKUP(BH159,Fundamentus!A:U,16,FALSE)&lt;0.1,"Oper. Ineficiente",IF(VLOOKUP(BH159,Fundamentus!A:U,16,FALSE)&gt;0.1,"Oper.Eficiente","n/a"))</f>
        <v>Oper. Ineficiente</v>
      </c>
      <c r="EV159" s="42">
        <f>VLOOKUP(BH159,Fundamentus!A:U,14,FALSE)</f>
        <v>0.15820000000000001</v>
      </c>
      <c r="EW159" s="20" t="str">
        <f>IF(VLOOKUP(BH159,Fundamentus!A:U,21,FALSE)&lt;0,"Negativo",IF(VLOOKUP(BH159,Fundamentus!A:U,21,FALSE)&lt;0.05,"Fraco",IF(VLOOKUP(BH159,Fundamentus!A:U,21,FALSE)&lt;0.1,"Bom",IF(VLOOKUP(BH159,Fundamentus!A:U,21,FALSE)&gt;0.1,"Muito bom","n/a"))))</f>
        <v>Fraco</v>
      </c>
      <c r="EY159" s="37" t="str">
        <f>IF(VLOOKUP(BH159,Fundamentus!A:U,15,FALSE)&gt;1,"Bom",IF(VLOOKUP(BH159,Fundamentus!A:U,15,FALSE)&lt;1,"Ruim","n/a"))</f>
        <v>Bom</v>
      </c>
      <c r="EZ159" s="20" t="str">
        <f>IF(VLOOKUP(BH159,Fundamentus!A:U,20,FALSE)&lt;0.5,"Baixa",IF(VLOOKUP(BH159,Fundamentus!A:U,20,FALSE)&lt;1,"Moderada",IF(VLOOKUP(BH159,Fundamentus!A:U,20,FALSE)&lt;2,"Alerta",IF(VLOOKUP(BH159,Fundamentus!A:U,20,FALSE)&gt;2,"Alta","n/a"))))</f>
        <v>Alerta</v>
      </c>
      <c r="FA159" s="10"/>
    </row>
    <row r="160" spans="1:157" s="2" customFormat="1" ht="11.25" hidden="1" x14ac:dyDescent="0.2">
      <c r="A160" s="4">
        <v>4.54</v>
      </c>
      <c r="B160" s="4">
        <v>4.49</v>
      </c>
      <c r="C160" s="4">
        <v>4.41</v>
      </c>
      <c r="D160" s="4">
        <v>4.38</v>
      </c>
      <c r="E160" s="4">
        <v>4.01</v>
      </c>
      <c r="F160" s="4">
        <v>4.0999999999999996</v>
      </c>
      <c r="G160" s="4">
        <v>3.85</v>
      </c>
      <c r="H160" s="4">
        <v>3.75</v>
      </c>
      <c r="I160" s="4">
        <v>3.72</v>
      </c>
      <c r="J160" s="4">
        <v>4.13</v>
      </c>
      <c r="K160" s="4">
        <v>4.16</v>
      </c>
      <c r="L160" s="4">
        <v>3.86</v>
      </c>
      <c r="M160" s="4">
        <v>4.04</v>
      </c>
      <c r="N160" s="4">
        <v>3.92</v>
      </c>
      <c r="O160" s="4">
        <v>4.32</v>
      </c>
      <c r="P160" s="4">
        <v>3.92</v>
      </c>
      <c r="Q160" s="4">
        <v>4.0199999999999996</v>
      </c>
      <c r="R160" s="4">
        <v>3.65</v>
      </c>
      <c r="S160" s="4">
        <v>3.56</v>
      </c>
      <c r="T160" s="4">
        <v>3.63</v>
      </c>
      <c r="U160" s="4">
        <v>3.49</v>
      </c>
      <c r="V160" s="4">
        <v>3.44</v>
      </c>
      <c r="W160" s="4">
        <v>3.3</v>
      </c>
      <c r="X160" s="4">
        <v>3.18</v>
      </c>
      <c r="Y160" s="4">
        <v>3.2</v>
      </c>
      <c r="Z160" s="4">
        <v>3.43</v>
      </c>
      <c r="AA160" s="4">
        <v>3.1</v>
      </c>
      <c r="AB160" s="4">
        <v>3.18</v>
      </c>
      <c r="AC160" s="4">
        <v>3.3</v>
      </c>
      <c r="AD160" s="4">
        <v>3.58</v>
      </c>
      <c r="AE160" s="4">
        <v>3.39</v>
      </c>
      <c r="AF160" s="4">
        <v>3.17</v>
      </c>
      <c r="AG160" s="4">
        <v>2.99</v>
      </c>
      <c r="AH160" s="4">
        <v>3.06</v>
      </c>
      <c r="AI160" s="4">
        <v>3.11</v>
      </c>
      <c r="AJ160" s="4">
        <v>3</v>
      </c>
      <c r="AK160" s="4">
        <v>3.08</v>
      </c>
      <c r="AL160" s="4">
        <v>3.15</v>
      </c>
      <c r="AM160" s="4">
        <v>3.22</v>
      </c>
      <c r="AN160" s="4">
        <v>3.44</v>
      </c>
      <c r="AO160" s="4">
        <v>3.48</v>
      </c>
      <c r="AP160" s="4">
        <v>3.66</v>
      </c>
      <c r="AQ160" s="4">
        <v>3.68</v>
      </c>
      <c r="AR160" s="4">
        <v>3.38</v>
      </c>
      <c r="AS160" s="4">
        <v>3.59</v>
      </c>
      <c r="AT160" s="4">
        <v>3.68</v>
      </c>
      <c r="AU160" s="4">
        <v>3.56</v>
      </c>
      <c r="AV160" s="4">
        <v>3.88</v>
      </c>
      <c r="AW160" s="4">
        <v>3.42</v>
      </c>
      <c r="AX160" s="4">
        <v>3.69</v>
      </c>
      <c r="AY160" s="12">
        <v>3.86</v>
      </c>
      <c r="AZ160" s="12">
        <v>3.98</v>
      </c>
      <c r="BA160" s="12">
        <v>4.09</v>
      </c>
      <c r="BB160" s="18">
        <v>4.08</v>
      </c>
      <c r="BC160" s="63">
        <v>4.3099999999999996</v>
      </c>
      <c r="BD160" s="63">
        <v>5.12</v>
      </c>
      <c r="BE160" s="63">
        <v>5.28</v>
      </c>
      <c r="BF160" s="63">
        <v>4.97</v>
      </c>
      <c r="BG160" s="91" cm="1">
        <f t="array" aca="1" ref="BG160" ca="1">_FV(EE160,"Preço")</f>
        <v>5.2</v>
      </c>
      <c r="BH160" s="93" t="s">
        <v>157</v>
      </c>
      <c r="BI160" s="32" cm="1">
        <f t="array" aca="1" ref="BI160" ca="1">_FV(EE160,"Beta")</f>
        <v>2.3496000000000001</v>
      </c>
      <c r="BJ160" s="96" cm="1">
        <f t="array" aca="1" ref="BJ160" ca="1">_FV(EE160,"Variação (%)",TRUE)</f>
        <v>-2.2556E-2</v>
      </c>
      <c r="BK160" s="49"/>
      <c r="BL160" s="49"/>
      <c r="BN160" s="32"/>
      <c r="BO160" s="20" cm="1">
        <f t="array" aca="1" ref="BO160" ca="1">_FV(EE160,"Baixo")</f>
        <v>5.19</v>
      </c>
      <c r="BP160" s="20" cm="1">
        <f t="array" aca="1" ref="BP160" ca="1">_FV(EE160,"Alto")</f>
        <v>5.31</v>
      </c>
      <c r="BQ160" s="32"/>
      <c r="BR160" s="74">
        <f ca="1">SQRT(22.5*(BG160/VLOOKUP(BH160,Fundamentus!A:U,3,FALSE))*(BG160/VLOOKUP(BH160,Fundamentus!A:U,4,FALSE)))</f>
        <v>7.2825354110105414</v>
      </c>
      <c r="BT160" s="73">
        <f t="shared" ca="1" si="158"/>
        <v>4.6277665995975943E-2</v>
      </c>
      <c r="BU160" s="36">
        <f t="shared" si="159"/>
        <v>0.16299559471365643</v>
      </c>
      <c r="BV160" s="8"/>
      <c r="BW160" s="72">
        <f t="shared" si="160"/>
        <v>2.99</v>
      </c>
      <c r="BX160" s="72">
        <f t="shared" si="161"/>
        <v>3.7410344827586215</v>
      </c>
      <c r="BY160" s="72">
        <f t="shared" si="162"/>
        <v>5.28</v>
      </c>
      <c r="BZ160" s="17"/>
      <c r="CA160" s="17"/>
      <c r="CB160" s="43">
        <f t="shared" si="163"/>
        <v>4.7212886906470786</v>
      </c>
      <c r="CC160" s="18">
        <f t="shared" si="164"/>
        <v>5.458987816307399</v>
      </c>
      <c r="CD160" s="43">
        <f t="shared" si="165"/>
        <v>6.1966869419677195</v>
      </c>
      <c r="CE160" s="98">
        <f t="shared" ca="1" si="166"/>
        <v>-0.35107512981742628</v>
      </c>
      <c r="CF160" s="17"/>
      <c r="CG160" s="20">
        <f t="shared" si="167"/>
        <v>1.2566666666666659</v>
      </c>
      <c r="CH160" s="20">
        <f t="shared" si="168"/>
        <v>2.1233333333333331</v>
      </c>
      <c r="CI160" s="20">
        <f t="shared" si="169"/>
        <v>3.546666666666666</v>
      </c>
      <c r="CJ160" s="49">
        <f t="shared" si="170"/>
        <v>4.4133333333333331</v>
      </c>
      <c r="CK160" s="20">
        <f t="shared" si="171"/>
        <v>5.836666666666666</v>
      </c>
      <c r="CL160" s="20">
        <f t="shared" si="172"/>
        <v>6.7033333333333331</v>
      </c>
      <c r="CM160" s="20">
        <f t="shared" si="173"/>
        <v>8.1266666666666652</v>
      </c>
      <c r="CN160" s="2" cm="1">
        <f t="array" aca="1" ref="CN160" ca="1">MAX(_xlfn._xlws.FILTER(CG160:CM160,CG160:CM160&lt;BG160))</f>
        <v>4.4133333333333331</v>
      </c>
      <c r="CO160" s="2" cm="1">
        <f t="array" aca="1" ref="CO160" ca="1">MIN(_xlfn._xlws.FILTER($CG160:$CM160,$CG160:$CM160&gt;BG160))</f>
        <v>5.836666666666666</v>
      </c>
      <c r="CP160" s="19">
        <f t="shared" ca="1" si="183"/>
        <v>0.32250755287009047</v>
      </c>
      <c r="CQ160" s="23">
        <f t="shared" ca="1" si="184"/>
        <v>-0.16125377643504524</v>
      </c>
      <c r="CR160" s="23">
        <f t="shared" ca="1" si="185"/>
        <v>-0.10750251762336349</v>
      </c>
      <c r="CS160" s="23">
        <f t="shared" ca="1" si="186"/>
        <v>-6.4501510574018095E-2</v>
      </c>
      <c r="CT160" s="23">
        <f t="shared" ca="1" si="187"/>
        <v>-3.5834172541121166E-2</v>
      </c>
      <c r="CU160" s="23">
        <f t="shared" ca="1" si="188"/>
        <v>-1.8971032521770029E-2</v>
      </c>
      <c r="CV160" s="23">
        <f t="shared" ca="1" si="189"/>
        <v>-9.7729561475784991E-3</v>
      </c>
      <c r="CW160" s="23">
        <f t="shared" ca="1" si="190"/>
        <v>-4.9616546595398535E-3</v>
      </c>
      <c r="CX160" s="24">
        <f t="shared" ca="1" si="191"/>
        <v>4.9616546595398535E-3</v>
      </c>
      <c r="CY160" s="24">
        <f t="shared" ca="1" si="192"/>
        <v>9.7729561475784991E-3</v>
      </c>
      <c r="CZ160" s="24">
        <f t="shared" ca="1" si="193"/>
        <v>1.8971032521770029E-2</v>
      </c>
      <c r="DA160" s="24">
        <f t="shared" ca="1" si="194"/>
        <v>3.5834172541121166E-2</v>
      </c>
      <c r="DB160" s="24">
        <f t="shared" ca="1" si="195"/>
        <v>6.4501510574018095E-2</v>
      </c>
      <c r="DC160" s="24">
        <f t="shared" ca="1" si="196"/>
        <v>0.10750251762336349</v>
      </c>
      <c r="DD160" s="24">
        <f t="shared" ca="1" si="197"/>
        <v>0.16125377643504524</v>
      </c>
      <c r="DF160" s="19" cm="1">
        <f t="array" aca="1" ref="DF160" ca="1">MAX(_xlfn._xlws.FILTER(CQ160:DD160,CQ160:DD160&lt;BJ160))</f>
        <v>-3.5834172541121166E-2</v>
      </c>
      <c r="DG160" s="19" cm="1">
        <f t="array" aca="1" ref="DG160" ca="1">MIN(_xlfn._xlws.FILTER(CQ160:DD160,CQ160:DD160&gt;BJ160))</f>
        <v>-1.8971032521770029E-2</v>
      </c>
      <c r="DH160" s="2" cm="1">
        <f t="array" aca="1" ref="DH160" ca="1">_FV(EE160,"Fechamento anterior",TRUE)</f>
        <v>5.32</v>
      </c>
      <c r="DI160" s="36">
        <f t="shared" ca="1" si="174"/>
        <v>0.78738488492894432</v>
      </c>
      <c r="DJ160" s="18">
        <f t="shared" ca="1" si="198"/>
        <v>5.1293622020812357</v>
      </c>
      <c r="DK160" s="18">
        <f t="shared" ca="1" si="199"/>
        <v>5.2190741069841842</v>
      </c>
      <c r="DL160" s="9"/>
      <c r="DM160" s="9"/>
      <c r="DN160" s="9"/>
      <c r="DO160" s="9"/>
      <c r="DP160" s="79">
        <v>2.282978919267236E-2</v>
      </c>
      <c r="DQ160" s="79">
        <v>9.2235633219239742E-3</v>
      </c>
      <c r="DR160" s="79">
        <v>1.5674029174511328E-2</v>
      </c>
      <c r="DS160" s="79">
        <f t="shared" ca="1" si="175"/>
        <v>1.6863140019351137E-2</v>
      </c>
      <c r="DT160" s="47"/>
      <c r="DU160" s="43">
        <f t="shared" si="176"/>
        <v>0.36884956283016002</v>
      </c>
      <c r="DV160" s="83">
        <f t="shared" ca="1" si="177"/>
        <v>2.7757000000000001</v>
      </c>
      <c r="DW160" s="83">
        <f t="shared" ca="1" si="178"/>
        <v>4.6052</v>
      </c>
      <c r="DX160" s="83">
        <f t="shared" ca="1" si="179"/>
        <v>-1.8294999999999999</v>
      </c>
      <c r="DY160" s="67"/>
      <c r="DZ160" s="67"/>
      <c r="EA160" s="85"/>
      <c r="EB160" s="44">
        <v>635600</v>
      </c>
      <c r="EC160" s="44" cm="1">
        <f t="array" aca="1" ref="EC160" ca="1">_FV(EE160,"Volume")</f>
        <v>197200</v>
      </c>
      <c r="EE160" s="2" t="e" vm="162">
        <v>#VALUE!</v>
      </c>
      <c r="EG160" s="10" cm="1">
        <f t="array" aca="1" ref="EG160" ca="1">_FV(EE160,"Ações em circulação",TRUE)</f>
        <v>364542500</v>
      </c>
      <c r="EH160" s="21">
        <f>VLOOKUP(BH160,Fundamentus!A:U,5,FALSE)</f>
        <v>0.70399999999999996</v>
      </c>
      <c r="EI160" s="2">
        <f t="shared" ca="1" si="180"/>
        <v>2692643465.909091</v>
      </c>
      <c r="EJ160" s="20">
        <v>187868841.51278409</v>
      </c>
      <c r="EK160" s="20">
        <f t="shared" ca="1" si="181"/>
        <v>196562973.01136363</v>
      </c>
      <c r="EM160" s="40" t="str">
        <f>IF(VLOOKUP(BH160,Fundamentus!A:U,3,FALSE)&lt;15,"Bom",IF(VLOOKUP(BH160,Fundamentus!A:U,3,FALSE)&gt;15,"Ruim","n/a"))</f>
        <v>Bom</v>
      </c>
      <c r="EN160" s="36" t="str">
        <f>IF(VLOOKUP(BH160,Fundamentus!A:U,4,FALSE)&lt;1,"Baixo",IF(VLOOKUP(BH160,Fundamentus!A:U,4,FALSE)&lt;1.5,"Moderado",IF(VLOOKUP(BH160,Fundamentus!A:U,4,FALSE)&gt;1.5,"Alto","n/a")))</f>
        <v>Moderado</v>
      </c>
      <c r="EO160" s="20" t="str">
        <f>IF(VLOOKUP(BH160,Fundamentus!A:U,8,FALSE)&lt;0,"Risco elevado",IF(VLOOKUP(BH160,Fundamentus!A:U,8,FALSE)&lt;1,"Saudável",IF(VLOOKUP(BH160,Fundamentus!A:U,8,FALSE)&lt;3,"Estável",IF(VLOOKUP(BH160,Fundamentus!A:U,8,FALSE)&gt;3,"Alerta","n/a"))))</f>
        <v>Alerta</v>
      </c>
      <c r="EP160" s="36" t="str">
        <f t="shared" si="182"/>
        <v>Ruim</v>
      </c>
      <c r="EQ160" s="20" t="str">
        <f>IF(VLOOKUP(BH160,Fundamentus!A:U,12,FALSE)&lt;2,"Subvalorizada",IF(VLOOKUP(BH160,Fundamentus!A:U,12,FALSE)&lt;6,"Muita barata",IF(VLOOKUP(BH160,Fundamentus!A:U,12,FALSE)&lt;6,"Barata",IF(VLOOKUP(BH160,Fundamentus!A:U,12,FALSE)&lt;8,"Atrativa",IF(VLOOKUP(BH160,Fundamentus!A:U,12,FALSE)&gt;8,"Supervalorizada","n/a")))))</f>
        <v>Muita barata</v>
      </c>
      <c r="ES160" s="20" t="str">
        <f>IF(VLOOKUP(BH160,Fundamentus!A:U,17,FALSE)&lt;0.1,"Fraco retorno",IF(VLOOKUP(BH160,Fundamentus!A:U,17,FALSE)&gt;0.1,"Bom retorno","n/a"))</f>
        <v>Bom retorno</v>
      </c>
      <c r="ET160" s="20" t="str">
        <f>IF(VLOOKUP(BH160,Fundamentus!A:U,16,FALSE)&lt;0.1,"Ineficiente",IF(VLOOKUP(BH160,Fundamentus!A:U,16,FALSE)&gt;0.1,"Eficiente","n/a"))</f>
        <v>Eficiente</v>
      </c>
      <c r="EU160" s="41" t="str">
        <f>IF(VLOOKUP(BH160,Fundamentus!A:U,16,FALSE)&lt;0.1,"Oper. Ineficiente",IF(VLOOKUP(BH160,Fundamentus!A:U,16,FALSE)&gt;0.1,"Oper.Eficiente","n/a"))</f>
        <v>Oper.Eficiente</v>
      </c>
      <c r="EV160" s="42">
        <f>VLOOKUP(BH160,Fundamentus!A:U,14,FALSE)</f>
        <v>7.2999999999999995E-2</v>
      </c>
      <c r="EW160" s="20" t="str">
        <f>IF(VLOOKUP(BH160,Fundamentus!A:U,21,FALSE)&lt;0,"Negativo",IF(VLOOKUP(BH160,Fundamentus!A:U,21,FALSE)&lt;0.05,"Fraco",IF(VLOOKUP(BH160,Fundamentus!A:U,21,FALSE)&lt;0.1,"Bom",IF(VLOOKUP(BH160,Fundamentus!A:U,21,FALSE)&gt;0.1,"Muito bom","n/a"))))</f>
        <v>Muito bom</v>
      </c>
      <c r="EY160" s="37" t="str">
        <f>IF(VLOOKUP(BH160,Fundamentus!A:U,15,FALSE)&gt;1,"Bom",IF(VLOOKUP(BH160,Fundamentus!A:U,15,FALSE)&lt;1,"Ruim","n/a"))</f>
        <v>Bom</v>
      </c>
      <c r="EZ160" s="20" t="str">
        <f>IF(VLOOKUP(BH160,Fundamentus!A:U,20,FALSE)&lt;0.5,"Baixa",IF(VLOOKUP(BH160,Fundamentus!A:U,20,FALSE)&lt;1,"Moderada",IF(VLOOKUP(BH160,Fundamentus!A:U,20,FALSE)&lt;2,"Alerta",IF(VLOOKUP(BH160,Fundamentus!A:U,20,FALSE)&gt;2,"Alta","n/a"))))</f>
        <v>Moderada</v>
      </c>
      <c r="FA160" s="10"/>
    </row>
    <row r="161" spans="1:157" s="2" customFormat="1" ht="11.25" hidden="1" x14ac:dyDescent="0.2">
      <c r="A161" s="4">
        <v>24.6</v>
      </c>
      <c r="B161" s="4">
        <v>23.44</v>
      </c>
      <c r="C161" s="4">
        <v>24.08</v>
      </c>
      <c r="D161" s="4">
        <v>22.76</v>
      </c>
      <c r="E161" s="4">
        <v>22.68</v>
      </c>
      <c r="F161" s="4">
        <v>22.88</v>
      </c>
      <c r="G161" s="4">
        <v>22.46</v>
      </c>
      <c r="H161" s="4">
        <v>22.2</v>
      </c>
      <c r="I161" s="4">
        <v>22.54</v>
      </c>
      <c r="J161" s="4">
        <v>24.17</v>
      </c>
      <c r="K161" s="4">
        <v>24.69</v>
      </c>
      <c r="L161" s="4">
        <v>24.63</v>
      </c>
      <c r="M161" s="4">
        <v>24.17</v>
      </c>
      <c r="N161" s="4">
        <v>24.8</v>
      </c>
      <c r="O161" s="4">
        <v>26.3</v>
      </c>
      <c r="P161" s="4">
        <v>26.72</v>
      </c>
      <c r="Q161" s="4">
        <v>26.69</v>
      </c>
      <c r="R161" s="4">
        <v>25.64</v>
      </c>
      <c r="S161" s="4">
        <v>25.95</v>
      </c>
      <c r="T161" s="4">
        <v>27.52</v>
      </c>
      <c r="U161" s="4">
        <v>26.34</v>
      </c>
      <c r="V161" s="4">
        <v>25.54</v>
      </c>
      <c r="W161" s="4">
        <v>25.79</v>
      </c>
      <c r="X161" s="4">
        <v>25.6</v>
      </c>
      <c r="Y161" s="4">
        <v>25.34</v>
      </c>
      <c r="Z161" s="4">
        <v>25.1</v>
      </c>
      <c r="AA161" s="4">
        <v>25.04</v>
      </c>
      <c r="AB161" s="4">
        <v>24.68</v>
      </c>
      <c r="AC161" s="4">
        <v>25.65</v>
      </c>
      <c r="AD161" s="4">
        <v>25.72</v>
      </c>
      <c r="AE161" s="4">
        <v>23.88</v>
      </c>
      <c r="AF161" s="4">
        <v>23.22</v>
      </c>
      <c r="AG161" s="4">
        <v>22.5</v>
      </c>
      <c r="AH161" s="4">
        <v>21.37</v>
      </c>
      <c r="AI161" s="4">
        <v>21.19</v>
      </c>
      <c r="AJ161" s="4">
        <v>20.28</v>
      </c>
      <c r="AK161" s="4">
        <v>20.239999999999998</v>
      </c>
      <c r="AL161" s="4">
        <v>20.53</v>
      </c>
      <c r="AM161" s="4">
        <v>20.81</v>
      </c>
      <c r="AN161" s="4">
        <v>22.4</v>
      </c>
      <c r="AO161" s="4">
        <v>22.07</v>
      </c>
      <c r="AP161" s="4">
        <v>22.85</v>
      </c>
      <c r="AQ161" s="4">
        <v>22.19</v>
      </c>
      <c r="AR161" s="4">
        <v>20.95</v>
      </c>
      <c r="AS161" s="4">
        <v>21.59</v>
      </c>
      <c r="AT161" s="4">
        <v>22.91</v>
      </c>
      <c r="AU161" s="4">
        <v>23.14</v>
      </c>
      <c r="AV161" s="4">
        <v>22.76</v>
      </c>
      <c r="AW161" s="4">
        <v>22.78</v>
      </c>
      <c r="AX161" s="4">
        <v>23.8</v>
      </c>
      <c r="AY161" s="12">
        <v>24.14</v>
      </c>
      <c r="AZ161" s="12">
        <v>25.5</v>
      </c>
      <c r="BA161" s="12">
        <v>25.74</v>
      </c>
      <c r="BB161" s="18">
        <v>26.02</v>
      </c>
      <c r="BC161" s="63">
        <v>25.84</v>
      </c>
      <c r="BD161" s="63">
        <v>25.9</v>
      </c>
      <c r="BE161" s="63">
        <v>26.88</v>
      </c>
      <c r="BF161" s="63">
        <v>26.26</v>
      </c>
      <c r="BG161" s="91" cm="1">
        <f t="array" aca="1" ref="BG161" ca="1">_FV(EE161,"Preço")</f>
        <v>25.7</v>
      </c>
      <c r="BH161" s="93" t="s">
        <v>158</v>
      </c>
      <c r="BI161" s="32" cm="1">
        <f t="array" aca="1" ref="BI161" ca="1">_FV(EE161,"Beta")</f>
        <v>1.0023</v>
      </c>
      <c r="BJ161" s="96" cm="1">
        <f t="array" aca="1" ref="BJ161" ca="1">_FV(EE161,"Variação (%)",TRUE)</f>
        <v>-1.7958999999999999E-2</v>
      </c>
      <c r="BK161" s="49"/>
      <c r="BL161" s="49"/>
      <c r="BN161" s="32"/>
      <c r="BO161" s="20" cm="1">
        <f t="array" aca="1" ref="BO161" ca="1">_FV(EE161,"Baixo")</f>
        <v>25.66</v>
      </c>
      <c r="BP161" s="20" cm="1">
        <f t="array" aca="1" ref="BP161" ca="1">_FV(EE161,"Alto")</f>
        <v>26.18</v>
      </c>
      <c r="BQ161" s="32"/>
      <c r="BR161" s="74">
        <f ca="1">SQRT(22.5*(BG161/VLOOKUP(BH161,Fundamentus!A:U,3,FALSE))*(BG161/VLOOKUP(BH161,Fundamentus!A:U,4,FALSE)))</f>
        <v>24.831207628562002</v>
      </c>
      <c r="BT161" s="73">
        <f t="shared" ca="1" si="158"/>
        <v>-2.1325209444021411E-2</v>
      </c>
      <c r="BU161" s="36">
        <f t="shared" si="159"/>
        <v>9.2682926829268195E-2</v>
      </c>
      <c r="BV161" s="8"/>
      <c r="BW161" s="72">
        <f t="shared" si="160"/>
        <v>20.239999999999998</v>
      </c>
      <c r="BX161" s="72">
        <f t="shared" si="161"/>
        <v>23.990689655172417</v>
      </c>
      <c r="BY161" s="72">
        <f t="shared" si="162"/>
        <v>27.52</v>
      </c>
      <c r="BZ161" s="17"/>
      <c r="CA161" s="17"/>
      <c r="CB161" s="43">
        <f t="shared" si="163"/>
        <v>25.939929895868076</v>
      </c>
      <c r="CC161" s="18">
        <f t="shared" si="164"/>
        <v>26.766972820993487</v>
      </c>
      <c r="CD161" s="43">
        <f t="shared" si="165"/>
        <v>27.594015746118899</v>
      </c>
      <c r="CE161" s="98">
        <f t="shared" ca="1" si="166"/>
        <v>-1.2901057352394305</v>
      </c>
      <c r="CF161" s="17"/>
      <c r="CG161" s="20">
        <f t="shared" si="167"/>
        <v>14.546666666666663</v>
      </c>
      <c r="CH161" s="20">
        <f t="shared" si="168"/>
        <v>17.393333333333331</v>
      </c>
      <c r="CI161" s="20">
        <f t="shared" si="169"/>
        <v>21.826666666666664</v>
      </c>
      <c r="CJ161" s="49">
        <f t="shared" si="170"/>
        <v>24.673333333333332</v>
      </c>
      <c r="CK161" s="20">
        <f t="shared" si="171"/>
        <v>29.106666666666666</v>
      </c>
      <c r="CL161" s="20">
        <f t="shared" si="172"/>
        <v>31.953333333333333</v>
      </c>
      <c r="CM161" s="20">
        <f t="shared" si="173"/>
        <v>36.38666666666667</v>
      </c>
      <c r="CN161" s="2" cm="1">
        <f t="array" aca="1" ref="CN161" ca="1">MAX(_xlfn._xlws.FILTER(CG161:CM161,CG161:CM161&lt;BG161))</f>
        <v>24.673333333333332</v>
      </c>
      <c r="CO161" s="2" cm="1">
        <f t="array" aca="1" ref="CO161" ca="1">MIN(_xlfn._xlws.FILTER($CG161:$CM161,$CG161:$CM161&gt;BG161))</f>
        <v>29.106666666666666</v>
      </c>
      <c r="CP161" s="19">
        <f t="shared" ca="1" si="183"/>
        <v>0.17968116725209415</v>
      </c>
      <c r="CQ161" s="23">
        <f t="shared" ca="1" si="184"/>
        <v>-8.9840583626047077E-2</v>
      </c>
      <c r="CR161" s="23">
        <f t="shared" ca="1" si="185"/>
        <v>-5.9893722417364716E-2</v>
      </c>
      <c r="CS161" s="23">
        <f t="shared" ca="1" si="186"/>
        <v>-3.5936233450418832E-2</v>
      </c>
      <c r="CT161" s="23">
        <f t="shared" ca="1" si="187"/>
        <v>-1.9964574139121574E-2</v>
      </c>
      <c r="CU161" s="23">
        <f t="shared" ca="1" si="188"/>
        <v>-1.0569480426593773E-2</v>
      </c>
      <c r="CV161" s="23">
        <f t="shared" ca="1" si="189"/>
        <v>-5.4448838561240651E-3</v>
      </c>
      <c r="CW161" s="23">
        <f t="shared" ca="1" si="190"/>
        <v>-2.7643256500322179E-3</v>
      </c>
      <c r="CX161" s="24">
        <f t="shared" ca="1" si="191"/>
        <v>2.7643256500322179E-3</v>
      </c>
      <c r="CY161" s="24">
        <f t="shared" ca="1" si="192"/>
        <v>5.4448838561240651E-3</v>
      </c>
      <c r="CZ161" s="24">
        <f t="shared" ca="1" si="193"/>
        <v>1.0569480426593773E-2</v>
      </c>
      <c r="DA161" s="24">
        <f t="shared" ca="1" si="194"/>
        <v>1.9964574139121574E-2</v>
      </c>
      <c r="DB161" s="24">
        <f t="shared" ca="1" si="195"/>
        <v>3.5936233450418832E-2</v>
      </c>
      <c r="DC161" s="24">
        <f t="shared" ca="1" si="196"/>
        <v>5.9893722417364716E-2</v>
      </c>
      <c r="DD161" s="24">
        <f t="shared" ca="1" si="197"/>
        <v>8.9840583626047077E-2</v>
      </c>
      <c r="DF161" s="19" cm="1">
        <f t="array" aca="1" ref="DF161" ca="1">MAX(_xlfn._xlws.FILTER(CQ161:DD161,CQ161:DD161&lt;BJ161))</f>
        <v>-1.9964574139121574E-2</v>
      </c>
      <c r="DG161" s="19" cm="1">
        <f t="array" aca="1" ref="DG161" ca="1">MIN(_xlfn._xlws.FILTER(CQ161:DD161,CQ161:DD161&gt;BJ161))</f>
        <v>-1.0569480426593773E-2</v>
      </c>
      <c r="DH161" s="2" cm="1">
        <f t="array" aca="1" ref="DH161" ca="1">_FV(EE161,"Fechamento anterior",TRUE)</f>
        <v>26.17</v>
      </c>
      <c r="DI161" s="36">
        <f t="shared" ca="1" si="174"/>
        <v>0.2134176193253432</v>
      </c>
      <c r="DJ161" s="18">
        <f t="shared" ca="1" si="198"/>
        <v>25.647527094779189</v>
      </c>
      <c r="DK161" s="18">
        <f t="shared" ca="1" si="199"/>
        <v>25.893396697236042</v>
      </c>
      <c r="DL161" s="9"/>
      <c r="DM161" s="9"/>
      <c r="DN161" s="9"/>
      <c r="DO161" s="9"/>
      <c r="DP161" s="79">
        <v>4.5878746493320703E-3</v>
      </c>
      <c r="DQ161" s="79">
        <v>8.4111035237754601E-3</v>
      </c>
      <c r="DR161" s="79">
        <v>4.9496109197601753E-3</v>
      </c>
      <c r="DS161" s="79">
        <f t="shared" ca="1" si="175"/>
        <v>9.3950937125278008E-3</v>
      </c>
      <c r="DT161" s="47"/>
      <c r="DU161" s="43">
        <f t="shared" si="176"/>
        <v>0.41352146256270661</v>
      </c>
      <c r="DV161" s="83">
        <f t="shared" ca="1" si="177"/>
        <v>1.4283999999999999</v>
      </c>
      <c r="DW161" s="83">
        <f t="shared" ca="1" si="178"/>
        <v>2.7981999999999996</v>
      </c>
      <c r="DX161" s="83">
        <f t="shared" ca="1" si="179"/>
        <v>-1.3697999999999997</v>
      </c>
      <c r="DY161" s="67"/>
      <c r="DZ161" s="67"/>
      <c r="EA161" s="85"/>
      <c r="EB161" s="44">
        <v>2504100</v>
      </c>
      <c r="EC161" s="44" cm="1">
        <f t="array" aca="1" ref="EC161" ca="1">_FV(EE161,"Volume")</f>
        <v>3477500</v>
      </c>
      <c r="EE161" s="2" t="e" vm="163">
        <v>#VALUE!</v>
      </c>
      <c r="EG161" s="10" cm="1">
        <f t="array" aca="1" ref="EG161" ca="1">_FV(EE161,"Ações em circulação",TRUE)</f>
        <v>513163700</v>
      </c>
      <c r="EH161" s="21">
        <f>VLOOKUP(BH161,Fundamentus!A:U,5,FALSE)</f>
        <v>5.2889999999999997</v>
      </c>
      <c r="EI161" s="2">
        <f t="shared" ca="1" si="180"/>
        <v>2493535089.8090377</v>
      </c>
      <c r="EJ161" s="20">
        <v>1308585481.5963697</v>
      </c>
      <c r="EK161" s="20">
        <f t="shared" ca="1" si="181"/>
        <v>1280679622.1259217</v>
      </c>
      <c r="EM161" s="40" t="str">
        <f>IF(VLOOKUP(BH161,Fundamentus!A:U,3,FALSE)&lt;15,"Bom",IF(VLOOKUP(BH161,Fundamentus!A:U,3,FALSE)&gt;15,"Ruim","n/a"))</f>
        <v>Bom</v>
      </c>
      <c r="EN161" s="36" t="str">
        <f>IF(VLOOKUP(BH161,Fundamentus!A:U,4,FALSE)&lt;1,"Baixo",IF(VLOOKUP(BH161,Fundamentus!A:U,4,FALSE)&lt;1.5,"Moderado",IF(VLOOKUP(BH161,Fundamentus!A:U,4,FALSE)&gt;1.5,"Alto","n/a")))</f>
        <v>Alto</v>
      </c>
      <c r="EO161" s="20" t="str">
        <f>IF(VLOOKUP(BH161,Fundamentus!A:U,8,FALSE)&lt;0,"Risco elevado",IF(VLOOKUP(BH161,Fundamentus!A:U,8,FALSE)&lt;1,"Saudável",IF(VLOOKUP(BH161,Fundamentus!A:U,8,FALSE)&lt;3,"Estável",IF(VLOOKUP(BH161,Fundamentus!A:U,8,FALSE)&gt;3,"Alerta","n/a"))))</f>
        <v>Alerta</v>
      </c>
      <c r="EP161" s="36" t="str">
        <f t="shared" si="182"/>
        <v>Bom</v>
      </c>
      <c r="EQ161" s="20" t="str">
        <f>IF(VLOOKUP(BH161,Fundamentus!A:U,12,FALSE)&lt;2,"Subvalorizada",IF(VLOOKUP(BH161,Fundamentus!A:U,12,FALSE)&lt;6,"Muita barata",IF(VLOOKUP(BH161,Fundamentus!A:U,12,FALSE)&lt;6,"Barata",IF(VLOOKUP(BH161,Fundamentus!A:U,12,FALSE)&lt;8,"Atrativa",IF(VLOOKUP(BH161,Fundamentus!A:U,12,FALSE)&gt;8,"Supervalorizada","n/a")))))</f>
        <v>Supervalorizada</v>
      </c>
      <c r="ES161" s="20" t="str">
        <f>IF(VLOOKUP(BH161,Fundamentus!A:U,17,FALSE)&lt;0.1,"Fraco retorno",IF(VLOOKUP(BH161,Fundamentus!A:U,17,FALSE)&gt;0.1,"Bom retorno","n/a"))</f>
        <v>Bom retorno</v>
      </c>
      <c r="ET161" s="20" t="str">
        <f>IF(VLOOKUP(BH161,Fundamentus!A:U,16,FALSE)&lt;0.1,"Ineficiente",IF(VLOOKUP(BH161,Fundamentus!A:U,16,FALSE)&gt;0.1,"Eficiente","n/a"))</f>
        <v>Eficiente</v>
      </c>
      <c r="EU161" s="41" t="str">
        <f>IF(VLOOKUP(BH161,Fundamentus!A:U,16,FALSE)&lt;0.1,"Oper. Ineficiente",IF(VLOOKUP(BH161,Fundamentus!A:U,16,FALSE)&gt;0.1,"Oper.Eficiente","n/a"))</f>
        <v>Oper.Eficiente</v>
      </c>
      <c r="EV161" s="42">
        <f>VLOOKUP(BH161,Fundamentus!A:U,14,FALSE)</f>
        <v>0.51359999999999995</v>
      </c>
      <c r="EW161" s="20" t="str">
        <f>IF(VLOOKUP(BH161,Fundamentus!A:U,21,FALSE)&lt;0,"Negativo",IF(VLOOKUP(BH161,Fundamentus!A:U,21,FALSE)&lt;0.05,"Fraco",IF(VLOOKUP(BH161,Fundamentus!A:U,21,FALSE)&lt;0.1,"Bom",IF(VLOOKUP(BH161,Fundamentus!A:U,21,FALSE)&gt;0.1,"Muito bom","n/a"))))</f>
        <v>Muito bom</v>
      </c>
      <c r="EY161" s="37" t="str">
        <f>IF(VLOOKUP(BH161,Fundamentus!A:U,15,FALSE)&gt;1,"Bom",IF(VLOOKUP(BH161,Fundamentus!A:U,15,FALSE)&lt;1,"Ruim","n/a"))</f>
        <v>Bom</v>
      </c>
      <c r="EZ161" s="20" t="str">
        <f>IF(VLOOKUP(BH161,Fundamentus!A:U,20,FALSE)&lt;0.5,"Baixa",IF(VLOOKUP(BH161,Fundamentus!A:U,20,FALSE)&lt;1,"Moderada",IF(VLOOKUP(BH161,Fundamentus!A:U,20,FALSE)&lt;2,"Alerta",IF(VLOOKUP(BH161,Fundamentus!A:U,20,FALSE)&gt;2,"Alta","n/a"))))</f>
        <v>Moderada</v>
      </c>
      <c r="FA161" s="10"/>
    </row>
    <row r="162" spans="1:157" s="2" customFormat="1" ht="11.25" hidden="1" x14ac:dyDescent="0.2">
      <c r="A162" s="4">
        <v>11.68</v>
      </c>
      <c r="B162" s="4">
        <v>11.81</v>
      </c>
      <c r="C162" s="4">
        <v>11.75</v>
      </c>
      <c r="D162" s="4">
        <v>12.13</v>
      </c>
      <c r="E162" s="4">
        <v>11.94</v>
      </c>
      <c r="F162" s="4">
        <v>12.1</v>
      </c>
      <c r="G162" s="4">
        <v>12.18</v>
      </c>
      <c r="H162" s="4">
        <v>12.27</v>
      </c>
      <c r="I162" s="4">
        <v>12.37</v>
      </c>
      <c r="J162" s="4">
        <v>12.35</v>
      </c>
      <c r="K162" s="4">
        <v>12.48</v>
      </c>
      <c r="L162" s="4">
        <v>12.35</v>
      </c>
      <c r="M162" s="4">
        <v>12.05</v>
      </c>
      <c r="N162" s="4">
        <v>11.79</v>
      </c>
      <c r="O162" s="4">
        <v>11.54</v>
      </c>
      <c r="P162" s="4">
        <v>11.53</v>
      </c>
      <c r="Q162" s="4">
        <v>11.59</v>
      </c>
      <c r="R162" s="4">
        <v>11.39</v>
      </c>
      <c r="S162" s="4">
        <v>11.35</v>
      </c>
      <c r="T162" s="4">
        <v>11.11</v>
      </c>
      <c r="U162" s="4">
        <v>10.6</v>
      </c>
      <c r="V162" s="4">
        <v>10.44</v>
      </c>
      <c r="W162" s="4">
        <v>10.34</v>
      </c>
      <c r="X162" s="4">
        <v>10.06</v>
      </c>
      <c r="Y162" s="4">
        <v>10.1</v>
      </c>
      <c r="Z162" s="4">
        <v>10.38</v>
      </c>
      <c r="AA162" s="4">
        <v>10.220000000000001</v>
      </c>
      <c r="AB162" s="4">
        <v>10.16</v>
      </c>
      <c r="AC162" s="4">
        <v>9.98</v>
      </c>
      <c r="AD162" s="4">
        <v>9.94</v>
      </c>
      <c r="AE162" s="4">
        <v>9.86</v>
      </c>
      <c r="AF162" s="4">
        <v>9.4600000000000009</v>
      </c>
      <c r="AG162" s="4">
        <v>9.11</v>
      </c>
      <c r="AH162" s="4">
        <v>8.77</v>
      </c>
      <c r="AI162" s="4">
        <v>8.6999999999999993</v>
      </c>
      <c r="AJ162" s="4">
        <v>8.42</v>
      </c>
      <c r="AK162" s="4">
        <v>7.88</v>
      </c>
      <c r="AL162" s="4">
        <v>7.78</v>
      </c>
      <c r="AM162" s="4">
        <v>7.6</v>
      </c>
      <c r="AN162" s="4">
        <v>8.11</v>
      </c>
      <c r="AO162" s="4">
        <v>8.14</v>
      </c>
      <c r="AP162" s="4">
        <v>8.4700000000000006</v>
      </c>
      <c r="AQ162" s="4">
        <v>8.82</v>
      </c>
      <c r="AR162" s="4">
        <v>7.79</v>
      </c>
      <c r="AS162" s="4">
        <v>8.0500000000000007</v>
      </c>
      <c r="AT162" s="4">
        <v>7.59</v>
      </c>
      <c r="AU162" s="4">
        <v>7.8849999999999998</v>
      </c>
      <c r="AV162" s="4">
        <v>7.78</v>
      </c>
      <c r="AW162" s="4">
        <v>7.65</v>
      </c>
      <c r="AX162" s="4">
        <v>7.87</v>
      </c>
      <c r="AY162" s="12">
        <v>7.9</v>
      </c>
      <c r="AZ162" s="12">
        <v>8.8699999999999992</v>
      </c>
      <c r="BA162" s="12">
        <v>8.93</v>
      </c>
      <c r="BB162" s="18">
        <v>9.31</v>
      </c>
      <c r="BC162" s="63">
        <v>9.4499999999999993</v>
      </c>
      <c r="BD162" s="63">
        <v>9.48</v>
      </c>
      <c r="BE162" s="63">
        <v>9.8800000000000008</v>
      </c>
      <c r="BF162" s="63">
        <v>9.9</v>
      </c>
      <c r="BG162" s="91" cm="1">
        <f t="array" aca="1" ref="BG162" ca="1">_FV(EE162,"Preço")</f>
        <v>10.02</v>
      </c>
      <c r="BH162" s="93" t="s">
        <v>87</v>
      </c>
      <c r="BI162" s="32" cm="1">
        <f t="array" aca="1" ref="BI162" ca="1">_FV(EE162,"Beta")</f>
        <v>0.45300000000000001</v>
      </c>
      <c r="BJ162" s="96" cm="1">
        <f t="array" aca="1" ref="BJ162" ca="1">_FV(EE162,"Variação (%)",TRUE)</f>
        <v>1.0081E-2</v>
      </c>
      <c r="BK162" s="49"/>
      <c r="BL162" s="49"/>
      <c r="BN162" s="32"/>
      <c r="BO162" s="20" cm="1">
        <f t="array" aca="1" ref="BO162" ca="1">_FV(EE162,"Baixo")</f>
        <v>9.76</v>
      </c>
      <c r="BP162" s="20" cm="1">
        <f t="array" aca="1" ref="BP162" ca="1">_FV(EE162,"Alto")</f>
        <v>10.07</v>
      </c>
      <c r="BQ162" s="32"/>
      <c r="BR162" s="74">
        <f ca="1">SQRT(22.5*(BG162/VLOOKUP(BH162,Fundamentus!A:U,3,FALSE))*(BG162/VLOOKUP(BH162,Fundamentus!A:U,4,FALSE)))</f>
        <v>1.2727232986755941</v>
      </c>
      <c r="BT162" s="73">
        <f t="shared" ca="1" si="158"/>
        <v>1.2121212121212041E-2</v>
      </c>
      <c r="BU162" s="36">
        <f t="shared" si="159"/>
        <v>-0.15410958904109581</v>
      </c>
      <c r="BV162" s="8"/>
      <c r="BW162" s="72">
        <f t="shared" si="160"/>
        <v>7.59</v>
      </c>
      <c r="BX162" s="72">
        <f t="shared" si="161"/>
        <v>9.9902586206896551</v>
      </c>
      <c r="BY162" s="72">
        <f t="shared" si="162"/>
        <v>12.48</v>
      </c>
      <c r="BZ162" s="17"/>
      <c r="CA162" s="17"/>
      <c r="CB162" s="43">
        <f t="shared" si="163"/>
        <v>9.6744421664204729</v>
      </c>
      <c r="CC162" s="18">
        <f t="shared" si="164"/>
        <v>10.100206185567231</v>
      </c>
      <c r="CD162" s="43">
        <f t="shared" si="165"/>
        <v>10.525970204713989</v>
      </c>
      <c r="CE162" s="98">
        <f t="shared" ca="1" si="166"/>
        <v>-0.188381784181685</v>
      </c>
      <c r="CF162" s="17"/>
      <c r="CG162" s="20">
        <f t="shared" si="167"/>
        <v>2.6099999999999994</v>
      </c>
      <c r="CH162" s="20">
        <f t="shared" si="168"/>
        <v>5.0999999999999996</v>
      </c>
      <c r="CI162" s="20">
        <f t="shared" si="169"/>
        <v>7.5</v>
      </c>
      <c r="CJ162" s="49">
        <f t="shared" si="170"/>
        <v>9.99</v>
      </c>
      <c r="CK162" s="20">
        <f t="shared" si="171"/>
        <v>12.39</v>
      </c>
      <c r="CL162" s="20">
        <f t="shared" si="172"/>
        <v>14.88</v>
      </c>
      <c r="CM162" s="20">
        <f t="shared" si="173"/>
        <v>17.28</v>
      </c>
      <c r="CN162" s="2" cm="1">
        <f t="array" aca="1" ref="CN162" ca="1">MAX(_xlfn._xlws.FILTER(CG162:CM162,CG162:CM162&lt;BG162))</f>
        <v>9.99</v>
      </c>
      <c r="CO162" s="2" cm="1">
        <f t="array" aca="1" ref="CO162" ca="1">MIN(_xlfn._xlws.FILTER($CG162:$CM162,$CG162:$CM162&gt;BG162))</f>
        <v>12.39</v>
      </c>
      <c r="CP162" s="19">
        <f t="shared" ca="1" si="183"/>
        <v>0.24024024024024038</v>
      </c>
      <c r="CQ162" s="23">
        <f t="shared" ca="1" si="184"/>
        <v>-0.12012012012012019</v>
      </c>
      <c r="CR162" s="23">
        <f t="shared" ca="1" si="185"/>
        <v>-8.0080080080080121E-2</v>
      </c>
      <c r="CS162" s="23">
        <f t="shared" ca="1" si="186"/>
        <v>-4.8048048048048075E-2</v>
      </c>
      <c r="CT162" s="23">
        <f t="shared" ca="1" si="187"/>
        <v>-2.6693360026693376E-2</v>
      </c>
      <c r="CU162" s="23">
        <f t="shared" ca="1" si="188"/>
        <v>-1.4131778837661198E-2</v>
      </c>
      <c r="CV162" s="23">
        <f t="shared" ca="1" si="189"/>
        <v>-7.2800072800072845E-3</v>
      </c>
      <c r="CW162" s="23">
        <f t="shared" ca="1" si="190"/>
        <v>-3.696003696003698E-3</v>
      </c>
      <c r="CX162" s="24">
        <f t="shared" ca="1" si="191"/>
        <v>3.696003696003698E-3</v>
      </c>
      <c r="CY162" s="24">
        <f t="shared" ca="1" si="192"/>
        <v>7.2800072800072845E-3</v>
      </c>
      <c r="CZ162" s="24">
        <f t="shared" ca="1" si="193"/>
        <v>1.4131778837661198E-2</v>
      </c>
      <c r="DA162" s="24">
        <f t="shared" ca="1" si="194"/>
        <v>2.6693360026693376E-2</v>
      </c>
      <c r="DB162" s="24">
        <f t="shared" ca="1" si="195"/>
        <v>4.8048048048048075E-2</v>
      </c>
      <c r="DC162" s="24">
        <f t="shared" ca="1" si="196"/>
        <v>8.0080080080080121E-2</v>
      </c>
      <c r="DD162" s="24">
        <f t="shared" ca="1" si="197"/>
        <v>0.12012012012012019</v>
      </c>
      <c r="DF162" s="19" cm="1">
        <f t="array" aca="1" ref="DF162" ca="1">MAX(_xlfn._xlws.FILTER(CQ162:DD162,CQ162:DD162&lt;BJ162))</f>
        <v>7.2800072800072845E-3</v>
      </c>
      <c r="DG162" s="19" cm="1">
        <f t="array" aca="1" ref="DG162" ca="1">MIN(_xlfn._xlws.FILTER(CQ162:DD162,CQ162:DD162&gt;BJ162))</f>
        <v>1.4131778837661198E-2</v>
      </c>
      <c r="DH162" s="2" cm="1">
        <f t="array" aca="1" ref="DH162" ca="1">_FV(EE162,"Fechamento anterior",TRUE)</f>
        <v>9.92</v>
      </c>
      <c r="DI162" s="36">
        <f t="shared" ca="1" si="174"/>
        <v>0.40874653477822043</v>
      </c>
      <c r="DJ162" s="18">
        <f t="shared" ca="1" si="198"/>
        <v>9.9922176722176719</v>
      </c>
      <c r="DK162" s="18">
        <f t="shared" ca="1" si="199"/>
        <v>10.060187246069599</v>
      </c>
      <c r="DL162" s="9"/>
      <c r="DM162" s="9"/>
      <c r="DN162" s="9"/>
      <c r="DO162" s="9"/>
      <c r="DP162" s="79">
        <v>6.2272310026361766E-3</v>
      </c>
      <c r="DQ162" s="79">
        <v>6.7182242163055681E-3</v>
      </c>
      <c r="DR162" s="79">
        <v>6.7182242163055681E-3</v>
      </c>
      <c r="DS162" s="79">
        <f t="shared" ca="1" si="175"/>
        <v>6.8517715576539139E-3</v>
      </c>
      <c r="DT162" s="47"/>
      <c r="DU162" s="43">
        <f t="shared" si="176"/>
        <v>0.21288200957337883</v>
      </c>
      <c r="DV162" s="83">
        <f t="shared" ca="1" si="177"/>
        <v>0.87909999999999999</v>
      </c>
      <c r="DW162" s="83">
        <f t="shared" ca="1" si="178"/>
        <v>-0.55509999999999993</v>
      </c>
      <c r="DX162" s="83">
        <f t="shared" ca="1" si="179"/>
        <v>1.4341999999999999</v>
      </c>
      <c r="DY162" s="67"/>
      <c r="DZ162" s="67"/>
      <c r="EA162" s="85"/>
      <c r="EB162" s="44">
        <v>2550300</v>
      </c>
      <c r="EC162" s="44" cm="1">
        <f t="array" aca="1" ref="EC162" ca="1">_FV(EE162,"Volume")</f>
        <v>2905500</v>
      </c>
      <c r="EE162" s="2" t="e" vm="164">
        <v>#VALUE!</v>
      </c>
      <c r="EG162" s="10" cm="1">
        <f t="array" aca="1" ref="EG162" ca="1">_FV(EE162,"Ações em circulação",TRUE)</f>
        <v>1050378000</v>
      </c>
      <c r="EH162" s="21">
        <f>VLOOKUP(BH162,Fundamentus!A:U,5,FALSE)</f>
        <v>1.0820000000000001</v>
      </c>
      <c r="EI162" s="2">
        <f t="shared" ca="1" si="180"/>
        <v>9727160406.6543427</v>
      </c>
      <c r="EJ162" s="20">
        <v>72080006.007393703</v>
      </c>
      <c r="EK162" s="20">
        <f t="shared" ca="1" si="181"/>
        <v>72953703.049907565</v>
      </c>
      <c r="EM162" s="40" t="str">
        <f>IF(VLOOKUP(BH162,Fundamentus!A:U,3,FALSE)&lt;15,"Bom",IF(VLOOKUP(BH162,Fundamentus!A:U,3,FALSE)&gt;15,"Ruim","n/a"))</f>
        <v>Ruim</v>
      </c>
      <c r="EN162" s="36" t="str">
        <f>IF(VLOOKUP(BH162,Fundamentus!A:U,4,FALSE)&lt;1,"Baixo",IF(VLOOKUP(BH162,Fundamentus!A:U,4,FALSE)&lt;1.5,"Moderado",IF(VLOOKUP(BH162,Fundamentus!A:U,4,FALSE)&gt;1.5,"Alto","n/a")))</f>
        <v>Baixo</v>
      </c>
      <c r="EO162" s="20" t="str">
        <f>IF(VLOOKUP(BH162,Fundamentus!A:U,8,FALSE)&lt;0,"Risco elevado",IF(VLOOKUP(BH162,Fundamentus!A:U,8,FALSE)&lt;1,"Saudável",IF(VLOOKUP(BH162,Fundamentus!A:U,8,FALSE)&lt;3,"Estável",IF(VLOOKUP(BH162,Fundamentus!A:U,8,FALSE)&gt;3,"Alerta","n/a"))))</f>
        <v>Alerta</v>
      </c>
      <c r="EP162" s="36" t="str">
        <f t="shared" si="182"/>
        <v>Bom</v>
      </c>
      <c r="EQ162" s="20" t="str">
        <f>IF(VLOOKUP(BH162,Fundamentus!A:U,12,FALSE)&lt;2,"Subvalorizada",IF(VLOOKUP(BH162,Fundamentus!A:U,12,FALSE)&lt;6,"Muita barata",IF(VLOOKUP(BH162,Fundamentus!A:U,12,FALSE)&lt;6,"Barata",IF(VLOOKUP(BH162,Fundamentus!A:U,12,FALSE)&lt;8,"Atrativa",IF(VLOOKUP(BH162,Fundamentus!A:U,12,FALSE)&gt;8,"Supervalorizada","n/a")))))</f>
        <v>Supervalorizada</v>
      </c>
      <c r="ES162" s="20" t="str">
        <f>IF(VLOOKUP(BH162,Fundamentus!A:U,17,FALSE)&lt;0.1,"Fraco retorno",IF(VLOOKUP(BH162,Fundamentus!A:U,17,FALSE)&gt;0.1,"Bom retorno","n/a"))</f>
        <v>Fraco retorno</v>
      </c>
      <c r="ET162" s="20" t="str">
        <f>IF(VLOOKUP(BH162,Fundamentus!A:U,16,FALSE)&lt;0.1,"Ineficiente",IF(VLOOKUP(BH162,Fundamentus!A:U,16,FALSE)&gt;0.1,"Eficiente","n/a"))</f>
        <v>Ineficiente</v>
      </c>
      <c r="EU162" s="41" t="str">
        <f>IF(VLOOKUP(BH162,Fundamentus!A:U,16,FALSE)&lt;0.1,"Oper. Ineficiente",IF(VLOOKUP(BH162,Fundamentus!A:U,16,FALSE)&gt;0.1,"Oper.Eficiente","n/a"))</f>
        <v>Oper. Ineficiente</v>
      </c>
      <c r="EV162" s="42">
        <f>VLOOKUP(BH162,Fundamentus!A:U,14,FALSE)</f>
        <v>7.4999999999999997E-3</v>
      </c>
      <c r="EW162" s="20" t="str">
        <f>IF(VLOOKUP(BH162,Fundamentus!A:U,21,FALSE)&lt;0,"Negativo",IF(VLOOKUP(BH162,Fundamentus!A:U,21,FALSE)&lt;0.05,"Fraco",IF(VLOOKUP(BH162,Fundamentus!A:U,21,FALSE)&lt;0.1,"Bom",IF(VLOOKUP(BH162,Fundamentus!A:U,21,FALSE)&gt;0.1,"Muito bom","n/a"))))</f>
        <v>Muito bom</v>
      </c>
      <c r="EY162" s="37" t="str">
        <f>IF(VLOOKUP(BH162,Fundamentus!A:U,15,FALSE)&gt;1,"Bom",IF(VLOOKUP(BH162,Fundamentus!A:U,15,FALSE)&lt;1,"Ruim","n/a"))</f>
        <v>Bom</v>
      </c>
      <c r="EZ162" s="20" t="str">
        <f>IF(VLOOKUP(BH162,Fundamentus!A:U,20,FALSE)&lt;0.5,"Baixa",IF(VLOOKUP(BH162,Fundamentus!A:U,20,FALSE)&lt;1,"Moderada",IF(VLOOKUP(BH162,Fundamentus!A:U,20,FALSE)&lt;2,"Alerta",IF(VLOOKUP(BH162,Fundamentus!A:U,20,FALSE)&gt;2,"Alta","n/a"))))</f>
        <v>Alerta</v>
      </c>
      <c r="FA162" s="10"/>
    </row>
    <row r="163" spans="1:157" s="2" customFormat="1" ht="11.25" hidden="1" x14ac:dyDescent="0.2">
      <c r="A163" s="4">
        <v>26.61</v>
      </c>
      <c r="B163" s="4">
        <v>25.21</v>
      </c>
      <c r="C163" s="4">
        <v>24.31</v>
      </c>
      <c r="D163" s="4">
        <v>23.48</v>
      </c>
      <c r="E163" s="4">
        <v>23.15</v>
      </c>
      <c r="F163" s="4">
        <v>22.62</v>
      </c>
      <c r="G163" s="4">
        <v>21.47</v>
      </c>
      <c r="H163" s="4">
        <v>22.02</v>
      </c>
      <c r="I163" s="4">
        <v>23.68</v>
      </c>
      <c r="J163" s="4">
        <v>24.92</v>
      </c>
      <c r="K163" s="4">
        <v>25.57</v>
      </c>
      <c r="L163" s="4">
        <v>25.64</v>
      </c>
      <c r="M163" s="4">
        <v>25.13</v>
      </c>
      <c r="N163" s="4">
        <v>24.79</v>
      </c>
      <c r="O163" s="4">
        <v>25.38</v>
      </c>
      <c r="P163" s="4">
        <v>27.05</v>
      </c>
      <c r="Q163" s="4">
        <v>27.58</v>
      </c>
      <c r="R163" s="4">
        <v>27.36</v>
      </c>
      <c r="S163" s="4">
        <v>27.03</v>
      </c>
      <c r="T163" s="4">
        <v>27.24</v>
      </c>
      <c r="U163" s="4">
        <v>26.34</v>
      </c>
      <c r="V163" s="4">
        <v>25.38</v>
      </c>
      <c r="W163" s="4">
        <v>25.3</v>
      </c>
      <c r="X163" s="4">
        <v>24.3</v>
      </c>
      <c r="Y163" s="4">
        <v>23.13</v>
      </c>
      <c r="Z163" s="4">
        <v>23.25</v>
      </c>
      <c r="AA163" s="4">
        <v>23.11</v>
      </c>
      <c r="AB163" s="4">
        <v>23.67</v>
      </c>
      <c r="AC163" s="4">
        <v>22.31</v>
      </c>
      <c r="AD163" s="4">
        <v>21.71</v>
      </c>
      <c r="AE163" s="4">
        <v>20.84</v>
      </c>
      <c r="AF163" s="4">
        <v>22.4</v>
      </c>
      <c r="AG163" s="4">
        <v>23.07</v>
      </c>
      <c r="AH163" s="4">
        <v>22.69</v>
      </c>
      <c r="AI163" s="4">
        <v>23.2</v>
      </c>
      <c r="AJ163" s="4">
        <v>21.36</v>
      </c>
      <c r="AK163" s="4">
        <v>21.28</v>
      </c>
      <c r="AL163" s="4">
        <v>21.74</v>
      </c>
      <c r="AM163" s="4">
        <v>21.69</v>
      </c>
      <c r="AN163" s="4">
        <v>21.38</v>
      </c>
      <c r="AO163" s="4">
        <v>20.65</v>
      </c>
      <c r="AP163" s="4">
        <v>21.32</v>
      </c>
      <c r="AQ163" s="4">
        <v>20.88</v>
      </c>
      <c r="AR163" s="4">
        <v>20.6</v>
      </c>
      <c r="AS163" s="4">
        <v>21.31</v>
      </c>
      <c r="AT163" s="4">
        <v>21.33</v>
      </c>
      <c r="AU163" s="4">
        <v>19.094999999999999</v>
      </c>
      <c r="AV163" s="4">
        <v>18</v>
      </c>
      <c r="AW163" s="4">
        <v>17.5</v>
      </c>
      <c r="AX163" s="4">
        <v>18.940000000000001</v>
      </c>
      <c r="AY163" s="12">
        <v>23.53</v>
      </c>
      <c r="AZ163" s="12">
        <v>22.75</v>
      </c>
      <c r="BA163" s="12">
        <v>21.45</v>
      </c>
      <c r="BB163" s="18">
        <v>19.82</v>
      </c>
      <c r="BC163" s="63">
        <v>18.7</v>
      </c>
      <c r="BD163" s="63">
        <v>18.93</v>
      </c>
      <c r="BE163" s="63">
        <v>19.25</v>
      </c>
      <c r="BF163" s="63">
        <v>18.48</v>
      </c>
      <c r="BG163" s="91" cm="1">
        <f t="array" aca="1" ref="BG163" ca="1">_FV(EE163,"Preço")</f>
        <v>19.079999999999998</v>
      </c>
      <c r="BH163" s="93" t="s">
        <v>160</v>
      </c>
      <c r="BI163" s="32" cm="1">
        <f t="array" aca="1" ref="BI163" ca="1">_FV(EE163,"Beta")</f>
        <v>0.50580000000000003</v>
      </c>
      <c r="BJ163" s="96" cm="1">
        <f t="array" aca="1" ref="BJ163" ca="1">_FV(EE163,"Variação (%)",TRUE)</f>
        <v>8.4569999999999992E-3</v>
      </c>
      <c r="BK163" s="49"/>
      <c r="BL163" s="49"/>
      <c r="BN163" s="32"/>
      <c r="BO163" s="20" cm="1">
        <f t="array" aca="1" ref="BO163" ca="1">_FV(EE163,"Baixo")</f>
        <v>18.579999999999998</v>
      </c>
      <c r="BP163" s="20" cm="1">
        <f t="array" aca="1" ref="BP163" ca="1">_FV(EE163,"Alto")</f>
        <v>19.100000000000001</v>
      </c>
      <c r="BQ163" s="32"/>
      <c r="BR163" s="74" t="e">
        <f ca="1">SQRT(22.5*(BG163/VLOOKUP(BH163,Fundamentus!A:U,3,FALSE))*(BG163/VLOOKUP(BH163,Fundamentus!A:U,4,FALSE)))</f>
        <v>#NUM!</v>
      </c>
      <c r="BT163" s="73">
        <f t="shared" ca="1" si="158"/>
        <v>3.2467532467532353E-2</v>
      </c>
      <c r="BU163" s="36">
        <f t="shared" si="159"/>
        <v>-0.27658774896655391</v>
      </c>
      <c r="BV163" s="8"/>
      <c r="BW163" s="72">
        <f t="shared" si="160"/>
        <v>17.5</v>
      </c>
      <c r="BX163" s="72">
        <f t="shared" si="161"/>
        <v>22.774568965517243</v>
      </c>
      <c r="BY163" s="72">
        <f t="shared" si="162"/>
        <v>27.58</v>
      </c>
      <c r="BZ163" s="17"/>
      <c r="CA163" s="17"/>
      <c r="CB163" s="43">
        <f t="shared" si="163"/>
        <v>18.199692781119147</v>
      </c>
      <c r="CC163" s="18">
        <f t="shared" si="164"/>
        <v>18.770131208997213</v>
      </c>
      <c r="CD163" s="43">
        <f t="shared" si="165"/>
        <v>19.34056963687528</v>
      </c>
      <c r="CE163" s="98">
        <f t="shared" ca="1" si="166"/>
        <v>0.54321163487432611</v>
      </c>
      <c r="CF163" s="17"/>
      <c r="CG163" s="20">
        <f t="shared" si="167"/>
        <v>4.7133333333333383</v>
      </c>
      <c r="CH163" s="20">
        <f t="shared" si="168"/>
        <v>11.106666666666669</v>
      </c>
      <c r="CI163" s="20">
        <f t="shared" si="169"/>
        <v>14.793333333333337</v>
      </c>
      <c r="CJ163" s="49">
        <f t="shared" si="170"/>
        <v>21.186666666666667</v>
      </c>
      <c r="CK163" s="20">
        <f t="shared" si="171"/>
        <v>24.873333333333335</v>
      </c>
      <c r="CL163" s="20">
        <f t="shared" si="172"/>
        <v>31.266666666666666</v>
      </c>
      <c r="CM163" s="20">
        <f t="shared" si="173"/>
        <v>34.953333333333333</v>
      </c>
      <c r="CN163" s="2" cm="1">
        <f t="array" aca="1" ref="CN163" ca="1">MAX(_xlfn._xlws.FILTER(CG163:CM163,CG163:CM163&lt;BG163))</f>
        <v>14.793333333333337</v>
      </c>
      <c r="CO163" s="2" cm="1">
        <f t="array" aca="1" ref="CO163" ca="1">MIN(_xlfn._xlws.FILTER($CG163:$CM163,$CG163:$CM163&gt;BG163))</f>
        <v>21.186666666666667</v>
      </c>
      <c r="CP163" s="19">
        <f t="shared" ca="1" si="183"/>
        <v>0.43217665615141931</v>
      </c>
      <c r="CQ163" s="23">
        <f t="shared" ca="1" si="184"/>
        <v>-0.21608832807570966</v>
      </c>
      <c r="CR163" s="23">
        <f t="shared" ca="1" si="185"/>
        <v>-0.14405888538380643</v>
      </c>
      <c r="CS163" s="23">
        <f t="shared" ca="1" si="186"/>
        <v>-8.6435331230283866E-2</v>
      </c>
      <c r="CT163" s="23">
        <f t="shared" ca="1" si="187"/>
        <v>-4.801962846126881E-2</v>
      </c>
      <c r="CU163" s="23">
        <f t="shared" ca="1" si="188"/>
        <v>-2.5422156244201136E-2</v>
      </c>
      <c r="CV163" s="23">
        <f t="shared" ca="1" si="189"/>
        <v>-1.3096262307618766E-2</v>
      </c>
      <c r="CW163" s="23">
        <f t="shared" ca="1" si="190"/>
        <v>-6.648871633098759E-3</v>
      </c>
      <c r="CX163" s="24">
        <f t="shared" ca="1" si="191"/>
        <v>6.648871633098759E-3</v>
      </c>
      <c r="CY163" s="24">
        <f t="shared" ca="1" si="192"/>
        <v>1.3096262307618766E-2</v>
      </c>
      <c r="CZ163" s="24">
        <f t="shared" ca="1" si="193"/>
        <v>2.5422156244201136E-2</v>
      </c>
      <c r="DA163" s="24">
        <f t="shared" ca="1" si="194"/>
        <v>4.801962846126881E-2</v>
      </c>
      <c r="DB163" s="24">
        <f t="shared" ca="1" si="195"/>
        <v>8.6435331230283866E-2</v>
      </c>
      <c r="DC163" s="24">
        <f t="shared" ca="1" si="196"/>
        <v>0.14405888538380643</v>
      </c>
      <c r="DD163" s="24">
        <f t="shared" ca="1" si="197"/>
        <v>0.21608832807570966</v>
      </c>
      <c r="DF163" s="19" cm="1">
        <f t="array" aca="1" ref="DF163" ca="1">MAX(_xlfn._xlws.FILTER(CQ163:DD163,CQ163:DD163&lt;BJ163))</f>
        <v>6.648871633098759E-3</v>
      </c>
      <c r="DG163" s="19" cm="1">
        <f t="array" aca="1" ref="DG163" ca="1">MIN(_xlfn._xlws.FILTER(CQ163:DD163,CQ163:DD163&gt;BJ163))</f>
        <v>1.3096262307618766E-2</v>
      </c>
      <c r="DH163" s="2" cm="1">
        <f t="array" aca="1" ref="DH163" ca="1">_FV(EE163,"Fechamento anterior",TRUE)</f>
        <v>18.920000000000002</v>
      </c>
      <c r="DI163" s="36">
        <f t="shared" ca="1" si="174"/>
        <v>0.28039063826173904</v>
      </c>
      <c r="DJ163" s="18">
        <f t="shared" ca="1" si="198"/>
        <v>19.045796651298229</v>
      </c>
      <c r="DK163" s="18">
        <f t="shared" ca="1" si="199"/>
        <v>19.167781282860147</v>
      </c>
      <c r="DL163" s="9"/>
      <c r="DM163" s="9"/>
      <c r="DN163" s="9"/>
      <c r="DO163" s="9"/>
      <c r="DP163" s="79">
        <v>2.4207447353690164E-2</v>
      </c>
      <c r="DQ163" s="79">
        <v>2.4207447353690164E-2</v>
      </c>
      <c r="DR163" s="79">
        <v>6.9067402239899201E-3</v>
      </c>
      <c r="DS163" s="79">
        <f t="shared" ca="1" si="175"/>
        <v>6.4473906745200074E-3</v>
      </c>
      <c r="DT163" s="47"/>
      <c r="DU163" s="43">
        <f t="shared" si="176"/>
        <v>0.28521921393903316</v>
      </c>
      <c r="DV163" s="83">
        <f t="shared" ca="1" si="177"/>
        <v>0.93189999999999995</v>
      </c>
      <c r="DW163" s="83">
        <f t="shared" ca="1" si="178"/>
        <v>-0.33989999999999987</v>
      </c>
      <c r="DX163" s="83">
        <f t="shared" ca="1" si="179"/>
        <v>1.2717999999999998</v>
      </c>
      <c r="DY163" s="67"/>
      <c r="DZ163" s="67"/>
      <c r="EA163" s="85"/>
      <c r="EB163" s="44">
        <v>322300</v>
      </c>
      <c r="EC163" s="44" cm="1">
        <f t="array" aca="1" ref="EC163" ca="1">_FV(EE163,"Volume")</f>
        <v>416700</v>
      </c>
      <c r="EE163" s="2" t="e" vm="165">
        <v>#VALUE!</v>
      </c>
      <c r="EG163" s="10" cm="1">
        <f t="array" aca="1" ref="EG163" ca="1">_FV(EE163,"Ações em circulação",TRUE)</f>
        <v>144177500</v>
      </c>
      <c r="EH163" s="21">
        <f>VLOOKUP(BH163,Fundamentus!A:U,5,FALSE)</f>
        <v>0.255</v>
      </c>
      <c r="EI163" s="2">
        <f t="shared" ca="1" si="180"/>
        <v>10787869411.764704</v>
      </c>
      <c r="EJ163" s="20">
        <v>-43884238.588235289</v>
      </c>
      <c r="EK163" s="20">
        <f t="shared" ca="1" si="181"/>
        <v>-45309051.529411756</v>
      </c>
      <c r="EM163" s="40" t="str">
        <f>IF(VLOOKUP(BH163,Fundamentus!A:U,3,FALSE)&lt;15,"Bom",IF(VLOOKUP(BH163,Fundamentus!A:U,3,FALSE)&gt;15,"Ruim","n/a"))</f>
        <v>Bom</v>
      </c>
      <c r="EN163" s="36" t="str">
        <f>IF(VLOOKUP(BH163,Fundamentus!A:U,4,FALSE)&lt;1,"Baixo",IF(VLOOKUP(BH163,Fundamentus!A:U,4,FALSE)&lt;1.5,"Moderado",IF(VLOOKUP(BH163,Fundamentus!A:U,4,FALSE)&gt;1.5,"Alto","n/a")))</f>
        <v>Baixo</v>
      </c>
      <c r="EO163" s="20" t="str">
        <f>IF(VLOOKUP(BH163,Fundamentus!A:U,8,FALSE)&lt;0,"Risco elevado",IF(VLOOKUP(BH163,Fundamentus!A:U,8,FALSE)&lt;1,"Saudável",IF(VLOOKUP(BH163,Fundamentus!A:U,8,FALSE)&lt;3,"Estável",IF(VLOOKUP(BH163,Fundamentus!A:U,8,FALSE)&gt;3,"Alerta","n/a"))))</f>
        <v>Saudável</v>
      </c>
      <c r="EP163" s="36" t="str">
        <f t="shared" si="182"/>
        <v>Ruim</v>
      </c>
      <c r="EQ163" s="20" t="str">
        <f>IF(VLOOKUP(BH163,Fundamentus!A:U,12,FALSE)&lt;2,"Subvalorizada",IF(VLOOKUP(BH163,Fundamentus!A:U,12,FALSE)&lt;6,"Muita barata",IF(VLOOKUP(BH163,Fundamentus!A:U,12,FALSE)&lt;6,"Barata",IF(VLOOKUP(BH163,Fundamentus!A:U,12,FALSE)&lt;8,"Atrativa",IF(VLOOKUP(BH163,Fundamentus!A:U,12,FALSE)&gt;8,"Supervalorizada","n/a")))))</f>
        <v>Muita barata</v>
      </c>
      <c r="ES163" s="20" t="str">
        <f>IF(VLOOKUP(BH163,Fundamentus!A:U,17,FALSE)&lt;0.1,"Fraco retorno",IF(VLOOKUP(BH163,Fundamentus!A:U,17,FALSE)&gt;0.1,"Bom retorno","n/a"))</f>
        <v>Fraco retorno</v>
      </c>
      <c r="ET163" s="20" t="str">
        <f>IF(VLOOKUP(BH163,Fundamentus!A:U,16,FALSE)&lt;0.1,"Ineficiente",IF(VLOOKUP(BH163,Fundamentus!A:U,16,FALSE)&gt;0.1,"Eficiente","n/a"))</f>
        <v>Eficiente</v>
      </c>
      <c r="EU163" s="41" t="str">
        <f>IF(VLOOKUP(BH163,Fundamentus!A:U,16,FALSE)&lt;0.1,"Oper. Ineficiente",IF(VLOOKUP(BH163,Fundamentus!A:U,16,FALSE)&gt;0.1,"Oper.Eficiente","n/a"))</f>
        <v>Oper.Eficiente</v>
      </c>
      <c r="EV163" s="42">
        <f>VLOOKUP(BH163,Fundamentus!A:U,14,FALSE)</f>
        <v>-4.1999999999999997E-3</v>
      </c>
      <c r="EW163" s="20" t="str">
        <f>IF(VLOOKUP(BH163,Fundamentus!A:U,21,FALSE)&lt;0,"Negativo",IF(VLOOKUP(BH163,Fundamentus!A:U,21,FALSE)&lt;0.05,"Fraco",IF(VLOOKUP(BH163,Fundamentus!A:U,21,FALSE)&lt;0.1,"Bom",IF(VLOOKUP(BH163,Fundamentus!A:U,21,FALSE)&gt;0.1,"Muito bom","n/a"))))</f>
        <v>Muito bom</v>
      </c>
      <c r="EY163" s="37" t="str">
        <f>IF(VLOOKUP(BH163,Fundamentus!A:U,15,FALSE)&gt;1,"Bom",IF(VLOOKUP(BH163,Fundamentus!A:U,15,FALSE)&lt;1,"Ruim","n/a"))</f>
        <v>Bom</v>
      </c>
      <c r="EZ163" s="20" t="str">
        <f>IF(VLOOKUP(BH163,Fundamentus!A:U,20,FALSE)&lt;0.5,"Baixa",IF(VLOOKUP(BH163,Fundamentus!A:U,20,FALSE)&lt;1,"Moderada",IF(VLOOKUP(BH163,Fundamentus!A:U,20,FALSE)&lt;2,"Alerta",IF(VLOOKUP(BH163,Fundamentus!A:U,20,FALSE)&gt;2,"Alta","n/a"))))</f>
        <v>Alerta</v>
      </c>
      <c r="FA163" s="10"/>
    </row>
    <row r="164" spans="1:157" s="2" customFormat="1" ht="11.25" hidden="1" x14ac:dyDescent="0.2">
      <c r="A164" s="4">
        <v>25.7</v>
      </c>
      <c r="B164" s="4">
        <v>24.99</v>
      </c>
      <c r="C164" s="4">
        <v>23.99</v>
      </c>
      <c r="D164" s="4">
        <v>24.02</v>
      </c>
      <c r="E164" s="4">
        <v>25.9</v>
      </c>
      <c r="F164" s="4">
        <v>23.39</v>
      </c>
      <c r="G164" s="4">
        <v>22.54</v>
      </c>
      <c r="H164" s="4">
        <v>22.44</v>
      </c>
      <c r="I164" s="4">
        <v>23.83</v>
      </c>
      <c r="J164" s="4">
        <v>23.2</v>
      </c>
      <c r="K164" s="4">
        <v>22.72</v>
      </c>
      <c r="L164" s="4">
        <v>22.12</v>
      </c>
      <c r="M164" s="4">
        <v>23.5</v>
      </c>
      <c r="N164" s="4">
        <v>24.08</v>
      </c>
      <c r="O164" s="4">
        <v>23.39</v>
      </c>
      <c r="P164" s="4">
        <v>23.89</v>
      </c>
      <c r="Q164" s="4">
        <v>23</v>
      </c>
      <c r="R164" s="4">
        <v>24.8</v>
      </c>
      <c r="S164" s="4">
        <v>23.11</v>
      </c>
      <c r="T164" s="4">
        <v>23.2</v>
      </c>
      <c r="U164" s="4">
        <v>22.5</v>
      </c>
      <c r="V164" s="4">
        <v>22.58</v>
      </c>
      <c r="W164" s="4">
        <v>23.49</v>
      </c>
      <c r="X164" s="4">
        <v>21.95</v>
      </c>
      <c r="Y164" s="4">
        <v>21.2</v>
      </c>
      <c r="Z164" s="4">
        <v>20.98</v>
      </c>
      <c r="AA164" s="4">
        <v>22.02</v>
      </c>
      <c r="AB164" s="4">
        <v>20.8</v>
      </c>
      <c r="AC164" s="4">
        <v>20.21</v>
      </c>
      <c r="AD164" s="4">
        <v>20.6</v>
      </c>
      <c r="AE164" s="4">
        <v>20.59</v>
      </c>
      <c r="AF164" s="4">
        <v>19.27</v>
      </c>
      <c r="AG164" s="4">
        <v>19.11</v>
      </c>
      <c r="AH164" s="4">
        <v>19.59</v>
      </c>
      <c r="AI164" s="4">
        <v>20.84</v>
      </c>
      <c r="AJ164" s="4">
        <v>16.989999999999998</v>
      </c>
      <c r="AK164" s="4">
        <v>16.170000000000002</v>
      </c>
      <c r="AL164" s="4">
        <v>15.83</v>
      </c>
      <c r="AM164" s="4">
        <v>16.579999999999998</v>
      </c>
      <c r="AN164" s="4">
        <v>18.86</v>
      </c>
      <c r="AO164" s="4">
        <v>17.77</v>
      </c>
      <c r="AP164" s="4">
        <v>17.059999999999999</v>
      </c>
      <c r="AQ164" s="4">
        <v>17.45</v>
      </c>
      <c r="AR164" s="4">
        <v>18.77</v>
      </c>
      <c r="AS164" s="4">
        <v>17.7</v>
      </c>
      <c r="AT164" s="4">
        <v>18.010000000000002</v>
      </c>
      <c r="AU164" s="4">
        <v>17.89</v>
      </c>
      <c r="AV164" s="4">
        <v>18.399999999999999</v>
      </c>
      <c r="AW164" s="4">
        <v>16.760000000000002</v>
      </c>
      <c r="AX164" s="4">
        <v>16.41</v>
      </c>
      <c r="AY164" s="12">
        <v>16.7</v>
      </c>
      <c r="AZ164" s="12">
        <v>17.73</v>
      </c>
      <c r="BA164" s="12">
        <v>18.47</v>
      </c>
      <c r="BB164" s="18">
        <v>17.899999999999999</v>
      </c>
      <c r="BC164" s="63">
        <v>17.600000000000001</v>
      </c>
      <c r="BD164" s="63">
        <v>17.2</v>
      </c>
      <c r="BE164" s="63">
        <v>17</v>
      </c>
      <c r="BF164" s="63">
        <v>16.739999999999998</v>
      </c>
      <c r="BG164" s="91" cm="1">
        <f t="array" aca="1" ref="BG164" ca="1">_FV(EE164,"Preço")</f>
        <v>16.989999999999998</v>
      </c>
      <c r="BH164" s="93" t="s">
        <v>161</v>
      </c>
      <c r="BI164" s="32" cm="1">
        <f t="array" aca="1" ref="BI164" ca="1">_FV(EE164,"Beta")</f>
        <v>0.95809999999999995</v>
      </c>
      <c r="BJ164" s="96" cm="1">
        <f t="array" aca="1" ref="BJ164" ca="1">_FV(EE164,"Variação (%)",TRUE)</f>
        <v>2.3599999999999997E-3</v>
      </c>
      <c r="BK164" s="49"/>
      <c r="BL164" s="49"/>
      <c r="BN164" s="32"/>
      <c r="BO164" s="20" cm="1">
        <f t="array" aca="1" ref="BO164" ca="1">_FV(EE164,"Baixo")</f>
        <v>16.920000000000002</v>
      </c>
      <c r="BP164" s="20" cm="1">
        <f t="array" aca="1" ref="BP164" ca="1">_FV(EE164,"Alto")</f>
        <v>17.079999999999998</v>
      </c>
      <c r="BQ164" s="32"/>
      <c r="BR164" s="74" t="e">
        <f ca="1">SQRT(22.5*(BG164/VLOOKUP(BH164,Fundamentus!A:U,3,FALSE))*(BG164/VLOOKUP(BH164,Fundamentus!A:U,4,FALSE)))</f>
        <v>#NUM!</v>
      </c>
      <c r="BT164" s="73">
        <f t="shared" ca="1" si="158"/>
        <v>1.4934289127837517E-2</v>
      </c>
      <c r="BU164" s="36">
        <f t="shared" si="159"/>
        <v>-0.33852140077821008</v>
      </c>
      <c r="BV164" s="8"/>
      <c r="BW164" s="72">
        <f t="shared" si="160"/>
        <v>15.83</v>
      </c>
      <c r="BX164" s="72">
        <f t="shared" si="161"/>
        <v>20.509137931034491</v>
      </c>
      <c r="BY164" s="72">
        <f t="shared" si="162"/>
        <v>25.9</v>
      </c>
      <c r="BZ164" s="17"/>
      <c r="CA164" s="17"/>
      <c r="CB164" s="43">
        <f t="shared" si="163"/>
        <v>15.828355768235726</v>
      </c>
      <c r="CC164" s="18">
        <f t="shared" si="164"/>
        <v>16.456607310215531</v>
      </c>
      <c r="CD164" s="43">
        <f t="shared" si="165"/>
        <v>17.084858852195335</v>
      </c>
      <c r="CE164" s="98">
        <f t="shared" ca="1" si="166"/>
        <v>0.84901134998187122</v>
      </c>
      <c r="CF164" s="17"/>
      <c r="CG164" s="20">
        <f t="shared" si="167"/>
        <v>3.01</v>
      </c>
      <c r="CH164" s="20">
        <f t="shared" si="168"/>
        <v>9.42</v>
      </c>
      <c r="CI164" s="20">
        <f t="shared" si="169"/>
        <v>13.079999999999998</v>
      </c>
      <c r="CJ164" s="49">
        <f t="shared" si="170"/>
        <v>19.489999999999998</v>
      </c>
      <c r="CK164" s="20">
        <f t="shared" si="171"/>
        <v>23.15</v>
      </c>
      <c r="CL164" s="20">
        <f t="shared" si="172"/>
        <v>29.559999999999995</v>
      </c>
      <c r="CM164" s="20">
        <f t="shared" si="173"/>
        <v>33.22</v>
      </c>
      <c r="CN164" s="2" cm="1">
        <f t="array" aca="1" ref="CN164" ca="1">MAX(_xlfn._xlws.FILTER(CG164:CM164,CG164:CM164&lt;BG164))</f>
        <v>13.079999999999998</v>
      </c>
      <c r="CO164" s="2" cm="1">
        <f t="array" aca="1" ref="CO164" ca="1">MIN(_xlfn._xlws.FILTER($CG164:$CM164,$CG164:$CM164&gt;BG164))</f>
        <v>19.489999999999998</v>
      </c>
      <c r="CP164" s="19">
        <f t="shared" ca="1" si="183"/>
        <v>0.49006116207951078</v>
      </c>
      <c r="CQ164" s="23">
        <f t="shared" ca="1" si="184"/>
        <v>-0.24503058103975539</v>
      </c>
      <c r="CR164" s="23">
        <f t="shared" ca="1" si="185"/>
        <v>-0.16335372069317025</v>
      </c>
      <c r="CS164" s="23">
        <f t="shared" ca="1" si="186"/>
        <v>-9.8012232415902151E-2</v>
      </c>
      <c r="CT164" s="23">
        <f t="shared" ca="1" si="187"/>
        <v>-5.4451240231056755E-2</v>
      </c>
      <c r="CU164" s="23">
        <f t="shared" ca="1" si="188"/>
        <v>-2.8827127181147692E-2</v>
      </c>
      <c r="CV164" s="23">
        <f t="shared" ca="1" si="189"/>
        <v>-1.485033824483366E-2</v>
      </c>
      <c r="CW164" s="23">
        <f t="shared" ca="1" si="190"/>
        <v>-7.5394024935309355E-3</v>
      </c>
      <c r="CX164" s="24">
        <f t="shared" ca="1" si="191"/>
        <v>7.5394024935309355E-3</v>
      </c>
      <c r="CY164" s="24">
        <f t="shared" ca="1" si="192"/>
        <v>1.485033824483366E-2</v>
      </c>
      <c r="CZ164" s="24">
        <f t="shared" ca="1" si="193"/>
        <v>2.8827127181147692E-2</v>
      </c>
      <c r="DA164" s="24">
        <f t="shared" ca="1" si="194"/>
        <v>5.4451240231056755E-2</v>
      </c>
      <c r="DB164" s="24">
        <f t="shared" ca="1" si="195"/>
        <v>9.8012232415902151E-2</v>
      </c>
      <c r="DC164" s="24">
        <f t="shared" ca="1" si="196"/>
        <v>0.16335372069317025</v>
      </c>
      <c r="DD164" s="24">
        <f t="shared" ca="1" si="197"/>
        <v>0.24503058103975539</v>
      </c>
      <c r="DF164" s="19" cm="1">
        <f t="array" aca="1" ref="DF164" ca="1">MAX(_xlfn._xlws.FILTER(CQ164:DD164,CQ164:DD164&lt;BJ164))</f>
        <v>-7.5394024935309355E-3</v>
      </c>
      <c r="DG164" s="19" cm="1">
        <f t="array" aca="1" ref="DG164" ca="1">MIN(_xlfn._xlws.FILTER(CQ164:DD164,CQ164:DD164&gt;BJ164))</f>
        <v>7.5394024935309355E-3</v>
      </c>
      <c r="DH164" s="2" cm="1">
        <f t="array" aca="1" ref="DH164" ca="1">_FV(EE164,"Fechamento anterior",TRUE)</f>
        <v>16.95</v>
      </c>
      <c r="DI164" s="36">
        <f t="shared" ca="1" si="174"/>
        <v>0.65650325128049059</v>
      </c>
      <c r="DJ164" s="18">
        <f t="shared" ca="1" si="198"/>
        <v>16.82220712773465</v>
      </c>
      <c r="DK164" s="18">
        <f t="shared" ca="1" si="199"/>
        <v>17.077792872265348</v>
      </c>
      <c r="DL164" s="9"/>
      <c r="DM164" s="9"/>
      <c r="DN164" s="9"/>
      <c r="DO164" s="9"/>
      <c r="DP164" s="79">
        <v>2.8012207928129147E-2</v>
      </c>
      <c r="DQ164" s="79">
        <v>4.762075347781955E-2</v>
      </c>
      <c r="DR164" s="79">
        <v>1.6484106973091384E-2</v>
      </c>
      <c r="DS164" s="79">
        <f t="shared" ca="1" si="175"/>
        <v>1.5078804987061871E-2</v>
      </c>
      <c r="DT164" s="47"/>
      <c r="DU164" s="43">
        <f t="shared" si="176"/>
        <v>0.31412577098990241</v>
      </c>
      <c r="DV164" s="83">
        <f t="shared" ca="1" si="177"/>
        <v>1.3841999999999999</v>
      </c>
      <c r="DW164" s="83">
        <f t="shared" ca="1" si="178"/>
        <v>0.72209999999999996</v>
      </c>
      <c r="DX164" s="83">
        <f t="shared" ca="1" si="179"/>
        <v>0.66209999999999991</v>
      </c>
      <c r="DY164" s="67"/>
      <c r="DZ164" s="67"/>
      <c r="EA164" s="85"/>
      <c r="EB164" s="44">
        <v>14600</v>
      </c>
      <c r="EC164" s="44" cm="1">
        <f t="array" aca="1" ref="EC164" ca="1">_FV(EE164,"Volume")</f>
        <v>5400</v>
      </c>
      <c r="EE164" s="2" t="e" vm="166">
        <v>#VALUE!</v>
      </c>
      <c r="EG164" s="10" cm="1">
        <f t="array" aca="1" ref="EG164" ca="1">_FV(EE164,"Ações em circulação",TRUE)</f>
        <v>57737320</v>
      </c>
      <c r="EH164" s="21">
        <f>VLOOKUP(BH164,Fundamentus!A:U,5,FALSE)</f>
        <v>2.1190000000000002</v>
      </c>
      <c r="EI164" s="2">
        <f t="shared" ca="1" si="180"/>
        <v>462933962.62387913</v>
      </c>
      <c r="EJ164" s="20">
        <v>-28142733.770910803</v>
      </c>
      <c r="EK164" s="20">
        <f t="shared" ca="1" si="181"/>
        <v>-28563025.49389334</v>
      </c>
      <c r="EM164" s="40" t="str">
        <f>IF(VLOOKUP(BH164,Fundamentus!A:U,3,FALSE)&lt;15,"Bom",IF(VLOOKUP(BH164,Fundamentus!A:U,3,FALSE)&gt;15,"Ruim","n/a"))</f>
        <v>Bom</v>
      </c>
      <c r="EN164" s="36" t="str">
        <f>IF(VLOOKUP(BH164,Fundamentus!A:U,4,FALSE)&lt;1,"Baixo",IF(VLOOKUP(BH164,Fundamentus!A:U,4,FALSE)&lt;1.5,"Moderado",IF(VLOOKUP(BH164,Fundamentus!A:U,4,FALSE)&gt;1.5,"Alto","n/a")))</f>
        <v>Baixo</v>
      </c>
      <c r="EO164" s="20" t="str">
        <f>IF(VLOOKUP(BH164,Fundamentus!A:U,8,FALSE)&lt;0,"Risco elevado",IF(VLOOKUP(BH164,Fundamentus!A:U,8,FALSE)&lt;1,"Saudável",IF(VLOOKUP(BH164,Fundamentus!A:U,8,FALSE)&lt;3,"Estável",IF(VLOOKUP(BH164,Fundamentus!A:U,8,FALSE)&gt;3,"Alerta","n/a"))))</f>
        <v>Estável</v>
      </c>
      <c r="EP164" s="36" t="str">
        <f t="shared" si="182"/>
        <v>Bom</v>
      </c>
      <c r="EQ164" s="20" t="str">
        <f>IF(VLOOKUP(BH164,Fundamentus!A:U,12,FALSE)&lt;2,"Subvalorizada",IF(VLOOKUP(BH164,Fundamentus!A:U,12,FALSE)&lt;6,"Muita barata",IF(VLOOKUP(BH164,Fundamentus!A:U,12,FALSE)&lt;6,"Barata",IF(VLOOKUP(BH164,Fundamentus!A:U,12,FALSE)&lt;8,"Atrativa",IF(VLOOKUP(BH164,Fundamentus!A:U,12,FALSE)&gt;8,"Supervalorizada","n/a")))))</f>
        <v>Supervalorizada</v>
      </c>
      <c r="ES164" s="20" t="str">
        <f>IF(VLOOKUP(BH164,Fundamentus!A:U,17,FALSE)&lt;0.1,"Fraco retorno",IF(VLOOKUP(BH164,Fundamentus!A:U,17,FALSE)&gt;0.1,"Bom retorno","n/a"))</f>
        <v>Fraco retorno</v>
      </c>
      <c r="ET164" s="20" t="str">
        <f>IF(VLOOKUP(BH164,Fundamentus!A:U,16,FALSE)&lt;0.1,"Ineficiente",IF(VLOOKUP(BH164,Fundamentus!A:U,16,FALSE)&gt;0.1,"Eficiente","n/a"))</f>
        <v>Ineficiente</v>
      </c>
      <c r="EU164" s="41" t="str">
        <f>IF(VLOOKUP(BH164,Fundamentus!A:U,16,FALSE)&lt;0.1,"Oper. Ineficiente",IF(VLOOKUP(BH164,Fundamentus!A:U,16,FALSE)&gt;0.1,"Oper.Eficiente","n/a"))</f>
        <v>Oper. Ineficiente</v>
      </c>
      <c r="EV164" s="42">
        <f>VLOOKUP(BH164,Fundamentus!A:U,14,FALSE)</f>
        <v>-6.1699999999999998E-2</v>
      </c>
      <c r="EW164" s="20" t="str">
        <f>IF(VLOOKUP(BH164,Fundamentus!A:U,21,FALSE)&lt;0,"Negativo",IF(VLOOKUP(BH164,Fundamentus!A:U,21,FALSE)&lt;0.05,"Fraco",IF(VLOOKUP(BH164,Fundamentus!A:U,21,FALSE)&lt;0.1,"Bom",IF(VLOOKUP(BH164,Fundamentus!A:U,21,FALSE)&gt;0.1,"Muito bom","n/a"))))</f>
        <v>Muito bom</v>
      </c>
      <c r="EY164" s="37" t="str">
        <f>IF(VLOOKUP(BH164,Fundamentus!A:U,15,FALSE)&gt;1,"Bom",IF(VLOOKUP(BH164,Fundamentus!A:U,15,FALSE)&lt;1,"Ruim","n/a"))</f>
        <v>Bom</v>
      </c>
      <c r="EZ164" s="20" t="str">
        <f>IF(VLOOKUP(BH164,Fundamentus!A:U,20,FALSE)&lt;0.5,"Baixa",IF(VLOOKUP(BH164,Fundamentus!A:U,20,FALSE)&lt;1,"Moderada",IF(VLOOKUP(BH164,Fundamentus!A:U,20,FALSE)&lt;2,"Alerta",IF(VLOOKUP(BH164,Fundamentus!A:U,20,FALSE)&gt;2,"Alta","n/a"))))</f>
        <v>Moderada</v>
      </c>
      <c r="FA164" s="10"/>
    </row>
    <row r="165" spans="1:157" s="2" customFormat="1" ht="11.25" hidden="1" x14ac:dyDescent="0.2">
      <c r="A165" s="4">
        <v>5</v>
      </c>
      <c r="B165" s="4">
        <v>5.13</v>
      </c>
      <c r="C165" s="4">
        <v>4.63</v>
      </c>
      <c r="D165" s="4">
        <v>4.13</v>
      </c>
      <c r="E165" s="4">
        <v>4.28</v>
      </c>
      <c r="F165" s="4">
        <v>4.22</v>
      </c>
      <c r="G165" s="4">
        <v>4.2</v>
      </c>
      <c r="H165" s="4">
        <v>3.99</v>
      </c>
      <c r="I165" s="4">
        <v>4.04</v>
      </c>
      <c r="J165" s="4">
        <v>4.47</v>
      </c>
      <c r="K165" s="4">
        <v>4.59</v>
      </c>
      <c r="L165" s="4">
        <v>4.33</v>
      </c>
      <c r="M165" s="4">
        <v>4.45</v>
      </c>
      <c r="N165" s="4">
        <v>4.38</v>
      </c>
      <c r="O165" s="4">
        <v>4.7</v>
      </c>
      <c r="P165" s="4">
        <v>4.63</v>
      </c>
      <c r="Q165" s="4">
        <v>4.8</v>
      </c>
      <c r="R165" s="4">
        <v>4.55</v>
      </c>
      <c r="S165" s="4">
        <v>4.45</v>
      </c>
      <c r="T165" s="4">
        <v>4.54</v>
      </c>
      <c r="U165" s="4">
        <v>4.1500000000000004</v>
      </c>
      <c r="V165" s="4">
        <v>4.3</v>
      </c>
      <c r="W165" s="4">
        <v>4.0999999999999996</v>
      </c>
      <c r="X165" s="4">
        <v>4.0599999999999996</v>
      </c>
      <c r="Y165" s="4">
        <v>4.46</v>
      </c>
      <c r="Z165" s="4">
        <v>4.33</v>
      </c>
      <c r="AA165" s="4">
        <v>4.09</v>
      </c>
      <c r="AB165" s="4">
        <v>4.28</v>
      </c>
      <c r="AC165" s="4">
        <v>4.2</v>
      </c>
      <c r="AD165" s="4">
        <v>4.17</v>
      </c>
      <c r="AE165" s="4">
        <v>3.76</v>
      </c>
      <c r="AF165" s="4">
        <v>3.59</v>
      </c>
      <c r="AG165" s="4">
        <v>3.53</v>
      </c>
      <c r="AH165" s="4">
        <v>3.41</v>
      </c>
      <c r="AI165" s="4">
        <v>3.22</v>
      </c>
      <c r="AJ165" s="4">
        <v>3.23</v>
      </c>
      <c r="AK165" s="4">
        <v>3.36</v>
      </c>
      <c r="AL165" s="4">
        <v>3.03</v>
      </c>
      <c r="AM165" s="4">
        <v>3.21</v>
      </c>
      <c r="AN165" s="4">
        <v>3.36</v>
      </c>
      <c r="AO165" s="4">
        <v>3.12</v>
      </c>
      <c r="AP165" s="4">
        <v>3.4</v>
      </c>
      <c r="AQ165" s="4">
        <v>2.94</v>
      </c>
      <c r="AR165" s="4">
        <v>2.74</v>
      </c>
      <c r="AS165" s="4">
        <v>2.69</v>
      </c>
      <c r="AT165" s="4">
        <v>2.65</v>
      </c>
      <c r="AU165" s="4">
        <v>2.6349999999999998</v>
      </c>
      <c r="AV165" s="4">
        <v>2.71</v>
      </c>
      <c r="AW165" s="4">
        <v>2.58</v>
      </c>
      <c r="AX165" s="4">
        <v>2.94</v>
      </c>
      <c r="AY165" s="12">
        <v>3.5</v>
      </c>
      <c r="AZ165" s="12">
        <v>3.89</v>
      </c>
      <c r="BA165" s="12">
        <v>3.61</v>
      </c>
      <c r="BB165" s="18">
        <v>3.57</v>
      </c>
      <c r="BC165" s="63">
        <v>3.66</v>
      </c>
      <c r="BD165" s="63">
        <v>3.82</v>
      </c>
      <c r="BE165" s="63">
        <v>3.76</v>
      </c>
      <c r="BF165" s="63">
        <v>3.93</v>
      </c>
      <c r="BG165" s="91" cm="1">
        <f t="array" aca="1" ref="BG165" ca="1">_FV(EE165,"Preço")</f>
        <v>4.08</v>
      </c>
      <c r="BH165" s="93" t="s">
        <v>162</v>
      </c>
      <c r="BI165" s="32" cm="1">
        <f t="array" aca="1" ref="BI165" ca="1">_FV(EE165,"Beta")</f>
        <v>1.169</v>
      </c>
      <c r="BJ165" s="96" cm="1">
        <f t="array" aca="1" ref="BJ165" ca="1">_FV(EE165,"Variação (%)",TRUE)</f>
        <v>-1.2107000000000001E-2</v>
      </c>
      <c r="BK165" s="49"/>
      <c r="BL165" s="49"/>
      <c r="BN165" s="32"/>
      <c r="BO165" s="20" cm="1">
        <f t="array" aca="1" ref="BO165" ca="1">_FV(EE165,"Baixo")</f>
        <v>3.98</v>
      </c>
      <c r="BP165" s="20" cm="1">
        <f t="array" aca="1" ref="BP165" ca="1">_FV(EE165,"Alto")</f>
        <v>4.1399999999999997</v>
      </c>
      <c r="BQ165" s="32"/>
      <c r="BR165" s="74">
        <f ca="1">SQRT(22.5*(BG165/VLOOKUP(BH165,Fundamentus!A:U,3,FALSE))*(BG165/VLOOKUP(BH165,Fundamentus!A:U,4,FALSE)))</f>
        <v>2.6109466877966492</v>
      </c>
      <c r="BT165" s="73">
        <f t="shared" ca="1" si="158"/>
        <v>3.8167938931297683E-2</v>
      </c>
      <c r="BU165" s="36">
        <f t="shared" si="159"/>
        <v>-0.24800000000000005</v>
      </c>
      <c r="BV165" s="8"/>
      <c r="BW165" s="72">
        <f t="shared" si="160"/>
        <v>2.58</v>
      </c>
      <c r="BX165" s="72">
        <f t="shared" si="161"/>
        <v>3.8533620689655175</v>
      </c>
      <c r="BY165" s="72">
        <f t="shared" si="162"/>
        <v>5.13</v>
      </c>
      <c r="BZ165" s="17"/>
      <c r="CA165" s="17"/>
      <c r="CB165" s="43">
        <f t="shared" si="163"/>
        <v>3.7803487780494325</v>
      </c>
      <c r="CC165" s="18">
        <f t="shared" si="164"/>
        <v>3.9759887535145708</v>
      </c>
      <c r="CD165" s="43">
        <f t="shared" si="165"/>
        <v>4.1716287289797096</v>
      </c>
      <c r="CE165" s="98">
        <f t="shared" ca="1" si="166"/>
        <v>0.53164618446787382</v>
      </c>
      <c r="CF165" s="17"/>
      <c r="CG165" s="20">
        <f t="shared" si="167"/>
        <v>8.0000000000000959E-2</v>
      </c>
      <c r="CH165" s="20">
        <f t="shared" si="168"/>
        <v>1.3300000000000005</v>
      </c>
      <c r="CI165" s="20">
        <f t="shared" si="169"/>
        <v>2.6300000000000008</v>
      </c>
      <c r="CJ165" s="49">
        <f t="shared" si="170"/>
        <v>3.8800000000000003</v>
      </c>
      <c r="CK165" s="20">
        <f t="shared" si="171"/>
        <v>5.1800000000000006</v>
      </c>
      <c r="CL165" s="20">
        <f t="shared" si="172"/>
        <v>6.43</v>
      </c>
      <c r="CM165" s="20">
        <f t="shared" si="173"/>
        <v>7.73</v>
      </c>
      <c r="CN165" s="2" cm="1">
        <f t="array" aca="1" ref="CN165" ca="1">MAX(_xlfn._xlws.FILTER(CG165:CM165,CG165:CM165&lt;BG165))</f>
        <v>3.8800000000000003</v>
      </c>
      <c r="CO165" s="2" cm="1">
        <f t="array" aca="1" ref="CO165" ca="1">MIN(_xlfn._xlws.FILTER($CG165:$CM165,$CG165:$CM165&gt;BG165))</f>
        <v>5.1800000000000006</v>
      </c>
      <c r="CP165" s="19">
        <f t="shared" ca="1" si="183"/>
        <v>0.33505154639175272</v>
      </c>
      <c r="CQ165" s="23">
        <f t="shared" ca="1" si="184"/>
        <v>-0.16752577319587636</v>
      </c>
      <c r="CR165" s="23">
        <f t="shared" ca="1" si="185"/>
        <v>-0.11168384879725091</v>
      </c>
      <c r="CS165" s="23">
        <f t="shared" ca="1" si="186"/>
        <v>-6.7010309278350541E-2</v>
      </c>
      <c r="CT165" s="23">
        <f t="shared" ca="1" si="187"/>
        <v>-3.7227949599083633E-2</v>
      </c>
      <c r="CU165" s="23">
        <f t="shared" ca="1" si="188"/>
        <v>-1.9708914493632514E-2</v>
      </c>
      <c r="CV165" s="23">
        <f t="shared" ca="1" si="189"/>
        <v>-1.0153077163386447E-2</v>
      </c>
      <c r="CW165" s="23">
        <f t="shared" ca="1" si="190"/>
        <v>-5.1546391752577345E-3</v>
      </c>
      <c r="CX165" s="24">
        <f t="shared" ca="1" si="191"/>
        <v>5.1546391752577345E-3</v>
      </c>
      <c r="CY165" s="24">
        <f t="shared" ca="1" si="192"/>
        <v>1.0153077163386447E-2</v>
      </c>
      <c r="CZ165" s="24">
        <f t="shared" ca="1" si="193"/>
        <v>1.9708914493632514E-2</v>
      </c>
      <c r="DA165" s="24">
        <f t="shared" ca="1" si="194"/>
        <v>3.7227949599083633E-2</v>
      </c>
      <c r="DB165" s="24">
        <f t="shared" ca="1" si="195"/>
        <v>6.7010309278350541E-2</v>
      </c>
      <c r="DC165" s="24">
        <f t="shared" ca="1" si="196"/>
        <v>0.11168384879725091</v>
      </c>
      <c r="DD165" s="24">
        <f t="shared" ca="1" si="197"/>
        <v>0.16752577319587636</v>
      </c>
      <c r="DF165" s="19" cm="1">
        <f t="array" aca="1" ref="DF165" ca="1">MAX(_xlfn._xlws.FILTER(CQ165:DD165,CQ165:DD165&lt;BJ165))</f>
        <v>-1.9708914493632514E-2</v>
      </c>
      <c r="DG165" s="19" cm="1">
        <f t="array" aca="1" ref="DG165" ca="1">MIN(_xlfn._xlws.FILTER(CQ165:DD165,CQ165:DD165&gt;BJ165))</f>
        <v>-1.0153077163386447E-2</v>
      </c>
      <c r="DH165" s="2" cm="1">
        <f t="array" aca="1" ref="DH165" ca="1">_FV(EE165,"Fechamento anterior",TRUE)</f>
        <v>4.13</v>
      </c>
      <c r="DI165" s="36">
        <f t="shared" ca="1" si="174"/>
        <v>0.79557412926057469</v>
      </c>
      <c r="DJ165" s="18">
        <f t="shared" ca="1" si="198"/>
        <v>4.0486021831412975</v>
      </c>
      <c r="DK165" s="18">
        <f t="shared" ca="1" si="199"/>
        <v>4.0880677913152139</v>
      </c>
      <c r="DL165" s="9"/>
      <c r="DM165" s="9"/>
      <c r="DN165" s="9"/>
      <c r="DO165" s="9"/>
      <c r="DP165" s="79">
        <v>7.6206318655441807E-3</v>
      </c>
      <c r="DQ165" s="79">
        <v>7.6206318655441807E-3</v>
      </c>
      <c r="DR165" s="79">
        <v>8.2214893780197789E-3</v>
      </c>
      <c r="DS165" s="79">
        <f t="shared" ca="1" si="175"/>
        <v>9.5558373302460677E-3</v>
      </c>
      <c r="DT165" s="47"/>
      <c r="DU165" s="43">
        <f t="shared" si="176"/>
        <v>9.7819987732569266E-2</v>
      </c>
      <c r="DV165" s="83">
        <f t="shared" ca="1" si="177"/>
        <v>1.5951</v>
      </c>
      <c r="DW165" s="83">
        <f t="shared" ca="1" si="178"/>
        <v>2.3797000000000001</v>
      </c>
      <c r="DX165" s="83">
        <f t="shared" ca="1" si="179"/>
        <v>-0.78460000000000019</v>
      </c>
      <c r="DY165" s="67"/>
      <c r="DZ165" s="67"/>
      <c r="EA165" s="85"/>
      <c r="EB165" s="44">
        <v>7218400</v>
      </c>
      <c r="EC165" s="44" cm="1">
        <f t="array" aca="1" ref="EC165" ca="1">_FV(EE165,"Volume")</f>
        <v>4835500</v>
      </c>
      <c r="EE165" s="2" t="e" vm="167">
        <v>#VALUE!</v>
      </c>
      <c r="EG165" s="10" cm="1">
        <f t="array" aca="1" ref="EG165" ca="1">_FV(EE165,"Ações em circulação",TRUE)</f>
        <v>562886500</v>
      </c>
      <c r="EH165" s="21">
        <f>VLOOKUP(BH165,Fundamentus!A:U,5,FALSE)</f>
        <v>1.5780000000000001</v>
      </c>
      <c r="EI165" s="2">
        <f t="shared" ca="1" si="180"/>
        <v>1455371939.1634979</v>
      </c>
      <c r="EJ165" s="20">
        <v>32663468.89638783</v>
      </c>
      <c r="EK165" s="20">
        <f t="shared" ca="1" si="181"/>
        <v>33910166.182509504</v>
      </c>
      <c r="EM165" s="40" t="str">
        <f>IF(VLOOKUP(BH165,Fundamentus!A:U,3,FALSE)&lt;15,"Bom",IF(VLOOKUP(BH165,Fundamentus!A:U,3,FALSE)&gt;15,"Ruim","n/a"))</f>
        <v>Ruim</v>
      </c>
      <c r="EN165" s="36" t="str">
        <f>IF(VLOOKUP(BH165,Fundamentus!A:U,4,FALSE)&lt;1,"Baixo",IF(VLOOKUP(BH165,Fundamentus!A:U,4,FALSE)&lt;1.5,"Moderado",IF(VLOOKUP(BH165,Fundamentus!A:U,4,FALSE)&gt;1.5,"Alto","n/a")))</f>
        <v>Baixo</v>
      </c>
      <c r="EO165" s="20" t="str">
        <f>IF(VLOOKUP(BH165,Fundamentus!A:U,8,FALSE)&lt;0,"Risco elevado",IF(VLOOKUP(BH165,Fundamentus!A:U,8,FALSE)&lt;1,"Saudável",IF(VLOOKUP(BH165,Fundamentus!A:U,8,FALSE)&lt;3,"Estável",IF(VLOOKUP(BH165,Fundamentus!A:U,8,FALSE)&gt;3,"Alerta","n/a"))))</f>
        <v>Alerta</v>
      </c>
      <c r="EP165" s="36" t="str">
        <f t="shared" si="182"/>
        <v>Bom</v>
      </c>
      <c r="EQ165" s="20" t="str">
        <f>IF(VLOOKUP(BH165,Fundamentus!A:U,12,FALSE)&lt;2,"Subvalorizada",IF(VLOOKUP(BH165,Fundamentus!A:U,12,FALSE)&lt;6,"Muita barata",IF(VLOOKUP(BH165,Fundamentus!A:U,12,FALSE)&lt;6,"Barata",IF(VLOOKUP(BH165,Fundamentus!A:U,12,FALSE)&lt;8,"Atrativa",IF(VLOOKUP(BH165,Fundamentus!A:U,12,FALSE)&gt;8,"Supervalorizada","n/a")))))</f>
        <v>Atrativa</v>
      </c>
      <c r="ES165" s="20" t="str">
        <f>IF(VLOOKUP(BH165,Fundamentus!A:U,17,FALSE)&lt;0.1,"Fraco retorno",IF(VLOOKUP(BH165,Fundamentus!A:U,17,FALSE)&gt;0.1,"Bom retorno","n/a"))</f>
        <v>Fraco retorno</v>
      </c>
      <c r="ET165" s="20" t="str">
        <f>IF(VLOOKUP(BH165,Fundamentus!A:U,16,FALSE)&lt;0.1,"Ineficiente",IF(VLOOKUP(BH165,Fundamentus!A:U,16,FALSE)&gt;0.1,"Eficiente","n/a"))</f>
        <v>Ineficiente</v>
      </c>
      <c r="EU165" s="41" t="str">
        <f>IF(VLOOKUP(BH165,Fundamentus!A:U,16,FALSE)&lt;0.1,"Oper. Ineficiente",IF(VLOOKUP(BH165,Fundamentus!A:U,16,FALSE)&gt;0.1,"Oper.Eficiente","n/a"))</f>
        <v>Oper. Ineficiente</v>
      </c>
      <c r="EV165" s="42">
        <f>VLOOKUP(BH165,Fundamentus!A:U,14,FALSE)</f>
        <v>2.3300000000000001E-2</v>
      </c>
      <c r="EW165" s="20" t="str">
        <f>IF(VLOOKUP(BH165,Fundamentus!A:U,21,FALSE)&lt;0,"Negativo",IF(VLOOKUP(BH165,Fundamentus!A:U,21,FALSE)&lt;0.05,"Fraco",IF(VLOOKUP(BH165,Fundamentus!A:U,21,FALSE)&lt;0.1,"Bom",IF(VLOOKUP(BH165,Fundamentus!A:U,21,FALSE)&gt;0.1,"Muito bom","n/a"))))</f>
        <v>Muito bom</v>
      </c>
      <c r="EY165" s="37" t="str">
        <f>IF(VLOOKUP(BH165,Fundamentus!A:U,15,FALSE)&gt;1,"Bom",IF(VLOOKUP(BH165,Fundamentus!A:U,15,FALSE)&lt;1,"Ruim","n/a"))</f>
        <v>Bom</v>
      </c>
      <c r="EZ165" s="20" t="str">
        <f>IF(VLOOKUP(BH165,Fundamentus!A:U,20,FALSE)&lt;0.5,"Baixa",IF(VLOOKUP(BH165,Fundamentus!A:U,20,FALSE)&lt;1,"Moderada",IF(VLOOKUP(BH165,Fundamentus!A:U,20,FALSE)&lt;2,"Alerta",IF(VLOOKUP(BH165,Fundamentus!A:U,20,FALSE)&gt;2,"Alta","n/a"))))</f>
        <v>Baixa</v>
      </c>
      <c r="FA165" s="10"/>
    </row>
    <row r="166" spans="1:157" s="2" customFormat="1" ht="11.25" hidden="1" x14ac:dyDescent="0.2">
      <c r="A166" s="4">
        <v>2.19</v>
      </c>
      <c r="B166" s="4">
        <v>2.2599999999999998</v>
      </c>
      <c r="C166" s="4">
        <v>2.2400000000000002</v>
      </c>
      <c r="D166" s="4">
        <v>2.31</v>
      </c>
      <c r="E166" s="4">
        <v>2.1</v>
      </c>
      <c r="F166" s="4">
        <v>1.94</v>
      </c>
      <c r="G166" s="4">
        <v>1.89</v>
      </c>
      <c r="H166" s="4">
        <v>1.79</v>
      </c>
      <c r="I166" s="4">
        <v>1.85</v>
      </c>
      <c r="J166" s="4">
        <v>1.92</v>
      </c>
      <c r="K166" s="4">
        <v>1.96</v>
      </c>
      <c r="L166" s="4">
        <v>1.86</v>
      </c>
      <c r="M166" s="4">
        <v>1.76</v>
      </c>
      <c r="N166" s="4">
        <v>1.81</v>
      </c>
      <c r="O166" s="4">
        <v>1.75</v>
      </c>
      <c r="P166" s="4">
        <v>1.75</v>
      </c>
      <c r="Q166" s="4">
        <v>1.78</v>
      </c>
      <c r="R166" s="4">
        <v>1.65</v>
      </c>
      <c r="S166" s="4">
        <v>1.75</v>
      </c>
      <c r="T166" s="4">
        <v>1.94</v>
      </c>
      <c r="U166" s="4">
        <v>1.7</v>
      </c>
      <c r="V166" s="4">
        <v>1.75</v>
      </c>
      <c r="W166" s="4">
        <v>1.76</v>
      </c>
      <c r="X166" s="4">
        <v>1.71</v>
      </c>
      <c r="Y166" s="4">
        <v>1.63</v>
      </c>
      <c r="Z166" s="4">
        <v>1.63</v>
      </c>
      <c r="AA166" s="4">
        <v>1.58</v>
      </c>
      <c r="AB166" s="4">
        <v>1.65</v>
      </c>
      <c r="AC166" s="4">
        <v>1.64</v>
      </c>
      <c r="AD166" s="4">
        <v>1.77</v>
      </c>
      <c r="AE166" s="4">
        <v>1.65</v>
      </c>
      <c r="AF166" s="4">
        <v>1.65</v>
      </c>
      <c r="AG166" s="4">
        <v>1.48</v>
      </c>
      <c r="AH166" s="4">
        <v>1.36</v>
      </c>
      <c r="AI166" s="4">
        <v>1.5</v>
      </c>
      <c r="AJ166" s="4">
        <v>1.47</v>
      </c>
      <c r="AK166" s="4">
        <v>1.41</v>
      </c>
      <c r="AL166" s="4">
        <v>1.31</v>
      </c>
      <c r="AM166" s="4">
        <v>1.29</v>
      </c>
      <c r="AN166" s="4">
        <v>1.3</v>
      </c>
      <c r="AO166" s="4">
        <v>1.27</v>
      </c>
      <c r="AP166" s="4">
        <v>1.34</v>
      </c>
      <c r="AQ166" s="4">
        <v>1.26</v>
      </c>
      <c r="AR166" s="4">
        <v>1.17</v>
      </c>
      <c r="AS166" s="4">
        <v>1.2</v>
      </c>
      <c r="AT166" s="4">
        <v>1.33</v>
      </c>
      <c r="AU166" s="4">
        <v>1.4</v>
      </c>
      <c r="AV166" s="4">
        <v>1.45</v>
      </c>
      <c r="AW166" s="4">
        <v>1.33</v>
      </c>
      <c r="AX166" s="4">
        <v>1.32</v>
      </c>
      <c r="AY166" s="12">
        <v>1.41</v>
      </c>
      <c r="AZ166" s="12">
        <v>1.4</v>
      </c>
      <c r="BA166" s="12">
        <v>1.38</v>
      </c>
      <c r="BB166" s="18">
        <v>1.39</v>
      </c>
      <c r="BC166" s="63">
        <v>1.5</v>
      </c>
      <c r="BD166" s="63">
        <v>1.6</v>
      </c>
      <c r="BE166" s="63">
        <v>1.75</v>
      </c>
      <c r="BF166" s="63">
        <v>1.66</v>
      </c>
      <c r="BG166" s="91" cm="1">
        <f t="array" aca="1" ref="BG166" ca="1">_FV(EE166,"Preço")</f>
        <v>1.65</v>
      </c>
      <c r="BH166" s="93" t="s">
        <v>163</v>
      </c>
      <c r="BI166" s="32" cm="1">
        <f t="array" aca="1" ref="BI166" ca="1">_FV(EE166,"Beta")</f>
        <v>1.2798</v>
      </c>
      <c r="BJ166" s="96" cm="1">
        <f t="array" aca="1" ref="BJ166" ca="1">_FV(EE166,"Variação (%)",TRUE)</f>
        <v>-1.7857000000000001E-2</v>
      </c>
      <c r="BK166" s="49"/>
      <c r="BL166" s="49"/>
      <c r="BN166" s="32"/>
      <c r="BO166" s="20" cm="1">
        <f t="array" aca="1" ref="BO166" ca="1">_FV(EE166,"Baixo")</f>
        <v>1.63</v>
      </c>
      <c r="BP166" s="20" cm="1">
        <f t="array" aca="1" ref="BP166" ca="1">_FV(EE166,"Alto")</f>
        <v>1.71</v>
      </c>
      <c r="BQ166" s="32"/>
      <c r="BR166" s="74">
        <f ca="1">SQRT(22.5*(BG166/VLOOKUP(BH166,Fundamentus!A:U,3,FALSE))*(BG166/VLOOKUP(BH166,Fundamentus!A:U,4,FALSE)))</f>
        <v>2.2263442707157846</v>
      </c>
      <c r="BT166" s="73">
        <f t="shared" ca="1" si="158"/>
        <v>-6.0240963855421742E-3</v>
      </c>
      <c r="BU166" s="36">
        <f t="shared" si="159"/>
        <v>-0.20091324200913241</v>
      </c>
      <c r="BV166" s="8"/>
      <c r="BW166" s="72">
        <f t="shared" si="160"/>
        <v>1.17</v>
      </c>
      <c r="BX166" s="72">
        <f t="shared" si="161"/>
        <v>1.6362068965517242</v>
      </c>
      <c r="BY166" s="72">
        <f t="shared" si="162"/>
        <v>2.31</v>
      </c>
      <c r="BZ166" s="17"/>
      <c r="CA166" s="17"/>
      <c r="CB166" s="43">
        <f t="shared" si="163"/>
        <v>1.6008431937900736</v>
      </c>
      <c r="CC166" s="18">
        <f t="shared" si="164"/>
        <v>1.7827085285848057</v>
      </c>
      <c r="CD166" s="43">
        <f t="shared" si="165"/>
        <v>1.9645738633795378</v>
      </c>
      <c r="CE166" s="98">
        <f t="shared" ca="1" si="166"/>
        <v>-0.72970766383044527</v>
      </c>
      <c r="CF166" s="17"/>
      <c r="CG166" s="20">
        <f t="shared" si="167"/>
        <v>-2.3333333333333872E-2</v>
      </c>
      <c r="CH166" s="20">
        <f t="shared" si="168"/>
        <v>0.57333333333333303</v>
      </c>
      <c r="CI166" s="20">
        <f t="shared" si="169"/>
        <v>1.1166666666666663</v>
      </c>
      <c r="CJ166" s="49">
        <f t="shared" si="170"/>
        <v>1.7133333333333332</v>
      </c>
      <c r="CK166" s="20">
        <f t="shared" si="171"/>
        <v>2.2566666666666664</v>
      </c>
      <c r="CL166" s="20">
        <f t="shared" si="172"/>
        <v>2.8533333333333335</v>
      </c>
      <c r="CM166" s="20">
        <f t="shared" si="173"/>
        <v>3.3966666666666665</v>
      </c>
      <c r="CN166" s="2" cm="1">
        <f t="array" aca="1" ref="CN166" ca="1">MAX(_xlfn._xlws.FILTER(CG166:CM166,CG166:CM166&lt;BG166))</f>
        <v>1.1166666666666663</v>
      </c>
      <c r="CO166" s="2" cm="1">
        <f t="array" aca="1" ref="CO166" ca="1">MIN(_xlfn._xlws.FILTER($CG166:$CM166,$CG166:$CM166&gt;BG166))</f>
        <v>1.7133333333333332</v>
      </c>
      <c r="CP166" s="19">
        <f t="shared" ca="1" si="183"/>
        <v>0.53432835820895552</v>
      </c>
      <c r="CQ166" s="23">
        <f t="shared" ca="1" si="184"/>
        <v>-0.26716417910447776</v>
      </c>
      <c r="CR166" s="23">
        <f t="shared" ca="1" si="185"/>
        <v>-0.17810945273631851</v>
      </c>
      <c r="CS166" s="23">
        <f t="shared" ca="1" si="186"/>
        <v>-0.1068656716417911</v>
      </c>
      <c r="CT166" s="23">
        <f t="shared" ca="1" si="187"/>
        <v>-5.9369817578772834E-2</v>
      </c>
      <c r="CU166" s="23">
        <f t="shared" ca="1" si="188"/>
        <v>-3.1431079894644443E-2</v>
      </c>
      <c r="CV166" s="23">
        <f t="shared" ca="1" si="189"/>
        <v>-1.6191768430574408E-2</v>
      </c>
      <c r="CW166" s="23">
        <f t="shared" ca="1" si="190"/>
        <v>-8.2204362801377769E-3</v>
      </c>
      <c r="CX166" s="24">
        <f t="shared" ca="1" si="191"/>
        <v>8.2204362801377769E-3</v>
      </c>
      <c r="CY166" s="24">
        <f t="shared" ca="1" si="192"/>
        <v>1.6191768430574408E-2</v>
      </c>
      <c r="CZ166" s="24">
        <f t="shared" ca="1" si="193"/>
        <v>3.1431079894644443E-2</v>
      </c>
      <c r="DA166" s="24">
        <f t="shared" ca="1" si="194"/>
        <v>5.9369817578772834E-2</v>
      </c>
      <c r="DB166" s="24">
        <f t="shared" ca="1" si="195"/>
        <v>0.1068656716417911</v>
      </c>
      <c r="DC166" s="24">
        <f t="shared" ca="1" si="196"/>
        <v>0.17810945273631851</v>
      </c>
      <c r="DD166" s="24">
        <f t="shared" ca="1" si="197"/>
        <v>0.26716417910447776</v>
      </c>
      <c r="DF166" s="19" cm="1">
        <f t="array" aca="1" ref="DF166" ca="1">MAX(_xlfn._xlws.FILTER(CQ166:DD166,CQ166:DD166&lt;BJ166))</f>
        <v>-3.1431079894644443E-2</v>
      </c>
      <c r="DG166" s="19" cm="1">
        <f t="array" aca="1" ref="DG166" ca="1">MIN(_xlfn._xlws.FILTER(CQ166:DD166,CQ166:DD166&gt;BJ166))</f>
        <v>-1.6191768430574408E-2</v>
      </c>
      <c r="DH166" s="2" cm="1">
        <f t="array" aca="1" ref="DH166" ca="1">_FV(EE166,"Fechamento anterior",TRUE)</f>
        <v>1.68</v>
      </c>
      <c r="DI166" s="36">
        <f t="shared" ca="1" si="174"/>
        <v>0.89071852553870567</v>
      </c>
      <c r="DJ166" s="18">
        <f t="shared" ca="1" si="198"/>
        <v>1.6271957857769972</v>
      </c>
      <c r="DK166" s="18">
        <f t="shared" ca="1" si="199"/>
        <v>1.652797829036635</v>
      </c>
      <c r="DL166" s="9"/>
      <c r="DM166" s="9"/>
      <c r="DN166" s="9"/>
      <c r="DO166" s="9"/>
      <c r="DP166" s="79">
        <v>4.761904761904763E-2</v>
      </c>
      <c r="DQ166" s="79">
        <v>1.4939309056956122E-2</v>
      </c>
      <c r="DR166" s="79">
        <v>4.2624042624042641E-3</v>
      </c>
      <c r="DS166" s="79">
        <f t="shared" ca="1" si="175"/>
        <v>1.5239311464070034E-2</v>
      </c>
      <c r="DT166" s="47"/>
      <c r="DU166" s="43">
        <f t="shared" si="176"/>
        <v>9.0932667397366052E-2</v>
      </c>
      <c r="DV166" s="83">
        <f t="shared" ca="1" si="177"/>
        <v>1.7059</v>
      </c>
      <c r="DW166" s="83">
        <f t="shared" ca="1" si="178"/>
        <v>3.0655000000000001</v>
      </c>
      <c r="DX166" s="83">
        <f t="shared" ca="1" si="179"/>
        <v>-1.3596000000000001</v>
      </c>
      <c r="DY166" s="67"/>
      <c r="DZ166" s="67"/>
      <c r="EA166" s="85"/>
      <c r="EB166" s="44">
        <v>40100</v>
      </c>
      <c r="EC166" s="44" cm="1">
        <f t="array" aca="1" ref="EC166" ca="1">_FV(EE166,"Volume")</f>
        <v>85800</v>
      </c>
      <c r="EE166" s="2" t="e" vm="168">
        <v>#VALUE!</v>
      </c>
      <c r="EG166" s="10" cm="1">
        <f t="array" aca="1" ref="EG166" ca="1">_FV(EE166,"Ações em circulação",TRUE)</f>
        <v>147554600</v>
      </c>
      <c r="EH166" s="21">
        <f>VLOOKUP(BH166,Fundamentus!A:U,5,FALSE)</f>
        <v>1.2010000000000001</v>
      </c>
      <c r="EI166" s="2">
        <f t="shared" ca="1" si="180"/>
        <v>202718642.79766861</v>
      </c>
      <c r="EJ166" s="20">
        <v>33447347.46378018</v>
      </c>
      <c r="EK166" s="20">
        <f t="shared" ca="1" si="181"/>
        <v>33245857.418817654</v>
      </c>
      <c r="EM166" s="40" t="str">
        <f>IF(VLOOKUP(BH166,Fundamentus!A:U,3,FALSE)&lt;15,"Bom",IF(VLOOKUP(BH166,Fundamentus!A:U,3,FALSE)&gt;15,"Ruim","n/a"))</f>
        <v>Bom</v>
      </c>
      <c r="EN166" s="36" t="str">
        <f>IF(VLOOKUP(BH166,Fundamentus!A:U,4,FALSE)&lt;1,"Baixo",IF(VLOOKUP(BH166,Fundamentus!A:U,4,FALSE)&lt;1.5,"Moderado",IF(VLOOKUP(BH166,Fundamentus!A:U,4,FALSE)&gt;1.5,"Alto","n/a")))</f>
        <v>Moderado</v>
      </c>
      <c r="EO166" s="20" t="str">
        <f>IF(VLOOKUP(BH166,Fundamentus!A:U,8,FALSE)&lt;0,"Risco elevado",IF(VLOOKUP(BH166,Fundamentus!A:U,8,FALSE)&lt;1,"Saudável",IF(VLOOKUP(BH166,Fundamentus!A:U,8,FALSE)&lt;3,"Estável",IF(VLOOKUP(BH166,Fundamentus!A:U,8,FALSE)&gt;3,"Alerta","n/a"))))</f>
        <v>Alerta</v>
      </c>
      <c r="EP166" s="36" t="str">
        <f t="shared" si="182"/>
        <v>Bom</v>
      </c>
      <c r="EQ166" s="20" t="str">
        <f>IF(VLOOKUP(BH166,Fundamentus!A:U,12,FALSE)&lt;2,"Subvalorizada",IF(VLOOKUP(BH166,Fundamentus!A:U,12,FALSE)&lt;6,"Muita barata",IF(VLOOKUP(BH166,Fundamentus!A:U,12,FALSE)&lt;6,"Barata",IF(VLOOKUP(BH166,Fundamentus!A:U,12,FALSE)&lt;8,"Atrativa",IF(VLOOKUP(BH166,Fundamentus!A:U,12,FALSE)&gt;8,"Supervalorizada","n/a")))))</f>
        <v>Muita barata</v>
      </c>
      <c r="ES166" s="20" t="str">
        <f>IF(VLOOKUP(BH166,Fundamentus!A:U,17,FALSE)&lt;0.1,"Fraco retorno",IF(VLOOKUP(BH166,Fundamentus!A:U,17,FALSE)&gt;0.1,"Bom retorno","n/a"))</f>
        <v>Fraco retorno</v>
      </c>
      <c r="ET166" s="20" t="str">
        <f>IF(VLOOKUP(BH166,Fundamentus!A:U,16,FALSE)&lt;0.1,"Ineficiente",IF(VLOOKUP(BH166,Fundamentus!A:U,16,FALSE)&gt;0.1,"Eficiente","n/a"))</f>
        <v>Eficiente</v>
      </c>
      <c r="EU166" s="41" t="str">
        <f>IF(VLOOKUP(BH166,Fundamentus!A:U,16,FALSE)&lt;0.1,"Oper. Ineficiente",IF(VLOOKUP(BH166,Fundamentus!A:U,16,FALSE)&gt;0.1,"Oper.Eficiente","n/a"))</f>
        <v>Oper.Eficiente</v>
      </c>
      <c r="EV166" s="42">
        <f>VLOOKUP(BH166,Fundamentus!A:U,14,FALSE)</f>
        <v>0.16400000000000001</v>
      </c>
      <c r="EW166" s="20" t="str">
        <f>IF(VLOOKUP(BH166,Fundamentus!A:U,21,FALSE)&lt;0,"Negativo",IF(VLOOKUP(BH166,Fundamentus!A:U,21,FALSE)&lt;0.05,"Fraco",IF(VLOOKUP(BH166,Fundamentus!A:U,21,FALSE)&lt;0.1,"Bom",IF(VLOOKUP(BH166,Fundamentus!A:U,21,FALSE)&gt;0.1,"Muito bom","n/a"))))</f>
        <v>Negativo</v>
      </c>
      <c r="EY166" s="37" t="str">
        <f>IF(VLOOKUP(BH166,Fundamentus!A:U,15,FALSE)&gt;1,"Bom",IF(VLOOKUP(BH166,Fundamentus!A:U,15,FALSE)&lt;1,"Ruim","n/a"))</f>
        <v>Bom</v>
      </c>
      <c r="EZ166" s="20" t="str">
        <f>IF(VLOOKUP(BH166,Fundamentus!A:U,20,FALSE)&lt;0.5,"Baixa",IF(VLOOKUP(BH166,Fundamentus!A:U,20,FALSE)&lt;1,"Moderada",IF(VLOOKUP(BH166,Fundamentus!A:U,20,FALSE)&lt;2,"Alerta",IF(VLOOKUP(BH166,Fundamentus!A:U,20,FALSE)&gt;2,"Alta","n/a"))))</f>
        <v>Baixa</v>
      </c>
      <c r="FA166" s="10"/>
    </row>
    <row r="167" spans="1:157" s="2" customFormat="1" ht="11.25" hidden="1" x14ac:dyDescent="0.2">
      <c r="A167" s="4">
        <v>4.2</v>
      </c>
      <c r="B167" s="4">
        <v>4.0999999999999996</v>
      </c>
      <c r="C167" s="4">
        <v>4.0599999999999996</v>
      </c>
      <c r="D167" s="4">
        <v>3.95</v>
      </c>
      <c r="E167" s="4">
        <v>3.69</v>
      </c>
      <c r="F167" s="4">
        <v>3.57</v>
      </c>
      <c r="G167" s="4">
        <v>3.46</v>
      </c>
      <c r="H167" s="4">
        <v>3.36</v>
      </c>
      <c r="I167" s="4">
        <v>3.5</v>
      </c>
      <c r="J167" s="4">
        <v>4.01</v>
      </c>
      <c r="K167" s="4">
        <v>4.38</v>
      </c>
      <c r="L167" s="4">
        <v>4.05</v>
      </c>
      <c r="M167" s="4">
        <v>3.96</v>
      </c>
      <c r="N167" s="4">
        <v>3.91</v>
      </c>
      <c r="O167" s="4">
        <v>4</v>
      </c>
      <c r="P167" s="4">
        <v>3.84</v>
      </c>
      <c r="Q167" s="4">
        <v>3.93</v>
      </c>
      <c r="R167" s="4">
        <v>3.72</v>
      </c>
      <c r="S167" s="4">
        <v>3.8</v>
      </c>
      <c r="T167" s="4">
        <v>3.84</v>
      </c>
      <c r="U167" s="4">
        <v>3.64</v>
      </c>
      <c r="V167" s="4">
        <v>3.6</v>
      </c>
      <c r="W167" s="4">
        <v>3.81</v>
      </c>
      <c r="X167" s="4">
        <v>3.62</v>
      </c>
      <c r="Y167" s="4">
        <v>3.61</v>
      </c>
      <c r="Z167" s="4">
        <v>3.61</v>
      </c>
      <c r="AA167" s="4">
        <v>3.64</v>
      </c>
      <c r="AB167" s="4">
        <v>3.67</v>
      </c>
      <c r="AC167" s="4">
        <v>3.88</v>
      </c>
      <c r="AD167" s="4">
        <v>3.84</v>
      </c>
      <c r="AE167" s="4">
        <v>3.52</v>
      </c>
      <c r="AF167" s="4">
        <v>3.25</v>
      </c>
      <c r="AG167" s="4">
        <v>3.1</v>
      </c>
      <c r="AH167" s="4">
        <v>2.9</v>
      </c>
      <c r="AI167" s="4">
        <v>2.86</v>
      </c>
      <c r="AJ167" s="4">
        <v>2.85</v>
      </c>
      <c r="AK167" s="4">
        <v>2.87</v>
      </c>
      <c r="AL167" s="4">
        <v>3.03</v>
      </c>
      <c r="AM167" s="4">
        <v>3.1</v>
      </c>
      <c r="AN167" s="4">
        <v>3.27</v>
      </c>
      <c r="AO167" s="4">
        <v>3.16</v>
      </c>
      <c r="AP167" s="4">
        <v>3.25</v>
      </c>
      <c r="AQ167" s="4">
        <v>3.15</v>
      </c>
      <c r="AR167" s="4">
        <v>3.04</v>
      </c>
      <c r="AS167" s="4">
        <v>3.11</v>
      </c>
      <c r="AT167" s="4">
        <v>3.33</v>
      </c>
      <c r="AU167" s="4">
        <v>3.39</v>
      </c>
      <c r="AV167" s="4">
        <v>3.45</v>
      </c>
      <c r="AW167" s="4">
        <v>3.5</v>
      </c>
      <c r="AX167" s="4">
        <v>3.61</v>
      </c>
      <c r="AY167" s="12">
        <v>3.63</v>
      </c>
      <c r="AZ167" s="12">
        <v>4</v>
      </c>
      <c r="BA167" s="12">
        <v>3.84</v>
      </c>
      <c r="BB167" s="18">
        <v>3.82</v>
      </c>
      <c r="BC167" s="63">
        <v>4.28</v>
      </c>
      <c r="BD167" s="63">
        <v>4.01</v>
      </c>
      <c r="BE167" s="63">
        <v>4.03</v>
      </c>
      <c r="BF167" s="63">
        <v>3.88</v>
      </c>
      <c r="BG167" s="91" cm="1">
        <f t="array" aca="1" ref="BG167" ca="1">_FV(EE167,"Preço")</f>
        <v>3.99</v>
      </c>
      <c r="BH167" s="93" t="s">
        <v>164</v>
      </c>
      <c r="BI167" s="32" cm="1">
        <f t="array" aca="1" ref="BI167" ca="1">_FV(EE167,"Beta")</f>
        <v>2.0097</v>
      </c>
      <c r="BJ167" s="96" cm="1">
        <f t="array" aca="1" ref="BJ167" ca="1">_FV(EE167,"Variação (%)",TRUE)</f>
        <v>-9.9260000000000008E-3</v>
      </c>
      <c r="BK167" s="49"/>
      <c r="BL167" s="49"/>
      <c r="BN167" s="32"/>
      <c r="BO167" s="20" cm="1">
        <f t="array" aca="1" ref="BO167" ca="1">_FV(EE167,"Baixo")</f>
        <v>3.94</v>
      </c>
      <c r="BP167" s="20" cm="1">
        <f t="array" aca="1" ref="BP167" ca="1">_FV(EE167,"Alto")</f>
        <v>4.03</v>
      </c>
      <c r="BQ167" s="32"/>
      <c r="BR167" s="74">
        <f ca="1">SQRT(22.5*(BG167/VLOOKUP(BH167,Fundamentus!A:U,3,FALSE))*(BG167/VLOOKUP(BH167,Fundamentus!A:U,4,FALSE)))</f>
        <v>11.006599905387345</v>
      </c>
      <c r="BT167" s="73">
        <f t="shared" ca="1" si="158"/>
        <v>2.8350515463917609E-2</v>
      </c>
      <c r="BU167" s="36">
        <f t="shared" si="159"/>
        <v>-4.0476190476190457E-2</v>
      </c>
      <c r="BV167" s="8"/>
      <c r="BW167" s="72">
        <f t="shared" si="160"/>
        <v>2.85</v>
      </c>
      <c r="BX167" s="72">
        <f t="shared" si="161"/>
        <v>3.6117241379310348</v>
      </c>
      <c r="BY167" s="72">
        <f t="shared" si="162"/>
        <v>4.38</v>
      </c>
      <c r="BZ167" s="17"/>
      <c r="CA167" s="17"/>
      <c r="CB167" s="43">
        <f t="shared" si="163"/>
        <v>3.4703958665513466</v>
      </c>
      <c r="CC167" s="18">
        <f t="shared" si="164"/>
        <v>3.7598781630739495</v>
      </c>
      <c r="CD167" s="43">
        <f t="shared" si="165"/>
        <v>4.049360459596552</v>
      </c>
      <c r="CE167" s="98">
        <f t="shared" ca="1" si="166"/>
        <v>0.79494269490874603</v>
      </c>
      <c r="CF167" s="17"/>
      <c r="CG167" s="20">
        <f t="shared" si="167"/>
        <v>1.4966666666666666</v>
      </c>
      <c r="CH167" s="20">
        <f t="shared" si="168"/>
        <v>2.1733333333333333</v>
      </c>
      <c r="CI167" s="20">
        <f t="shared" si="169"/>
        <v>3.0266666666666664</v>
      </c>
      <c r="CJ167" s="49">
        <f t="shared" si="170"/>
        <v>3.7033333333333331</v>
      </c>
      <c r="CK167" s="20">
        <f t="shared" si="171"/>
        <v>4.5566666666666666</v>
      </c>
      <c r="CL167" s="20">
        <f t="shared" si="172"/>
        <v>5.2333333333333325</v>
      </c>
      <c r="CM167" s="20">
        <f t="shared" si="173"/>
        <v>6.086666666666666</v>
      </c>
      <c r="CN167" s="2" cm="1">
        <f t="array" aca="1" ref="CN167" ca="1">MAX(_xlfn._xlws.FILTER(CG167:CM167,CG167:CM167&lt;BG167))</f>
        <v>3.7033333333333331</v>
      </c>
      <c r="CO167" s="2" cm="1">
        <f t="array" aca="1" ref="CO167" ca="1">MIN(_xlfn._xlws.FILTER($CG167:$CM167,$CG167:$CM167&gt;BG167))</f>
        <v>4.5566666666666666</v>
      </c>
      <c r="CP167" s="19">
        <f t="shared" ca="1" si="183"/>
        <v>0.23042304230423039</v>
      </c>
      <c r="CQ167" s="23">
        <f t="shared" ca="1" si="184"/>
        <v>-0.11521152115211519</v>
      </c>
      <c r="CR167" s="23">
        <f t="shared" ca="1" si="185"/>
        <v>-7.68076807680768E-2</v>
      </c>
      <c r="CS167" s="23">
        <f t="shared" ca="1" si="186"/>
        <v>-4.6084608460846076E-2</v>
      </c>
      <c r="CT167" s="23">
        <f t="shared" ca="1" si="187"/>
        <v>-2.56025602560256E-2</v>
      </c>
      <c r="CU167" s="23">
        <f t="shared" ca="1" si="188"/>
        <v>-1.3554296606131199E-2</v>
      </c>
      <c r="CV167" s="23">
        <f t="shared" ca="1" si="189"/>
        <v>-6.9825164334615265E-3</v>
      </c>
      <c r="CW167" s="23">
        <f t="shared" ca="1" si="190"/>
        <v>-3.5449698816035443E-3</v>
      </c>
      <c r="CX167" s="24">
        <f t="shared" ca="1" si="191"/>
        <v>3.5449698816035443E-3</v>
      </c>
      <c r="CY167" s="24">
        <f t="shared" ca="1" si="192"/>
        <v>6.9825164334615265E-3</v>
      </c>
      <c r="CZ167" s="24">
        <f t="shared" ca="1" si="193"/>
        <v>1.3554296606131199E-2</v>
      </c>
      <c r="DA167" s="24">
        <f t="shared" ca="1" si="194"/>
        <v>2.56025602560256E-2</v>
      </c>
      <c r="DB167" s="24">
        <f t="shared" ca="1" si="195"/>
        <v>4.6084608460846076E-2</v>
      </c>
      <c r="DC167" s="24">
        <f t="shared" ca="1" si="196"/>
        <v>7.68076807680768E-2</v>
      </c>
      <c r="DD167" s="24">
        <f t="shared" ca="1" si="197"/>
        <v>0.11521152115211519</v>
      </c>
      <c r="DF167" s="19" cm="1">
        <f t="array" aca="1" ref="DF167" ca="1">MAX(_xlfn._xlws.FILTER(CQ167:DD167,CQ167:DD167&lt;BJ167))</f>
        <v>-1.3554296606131199E-2</v>
      </c>
      <c r="DG167" s="19" cm="1">
        <f t="array" aca="1" ref="DG167" ca="1">MIN(_xlfn._xlws.FILTER(CQ167:DD167,CQ167:DD167&gt;BJ167))</f>
        <v>-6.9825164334615265E-3</v>
      </c>
      <c r="DH167" s="2" cm="1">
        <f t="array" aca="1" ref="DH167" ca="1">_FV(EE167,"Fechamento anterior",TRUE)</f>
        <v>4.03</v>
      </c>
      <c r="DI167" s="36">
        <f t="shared" ca="1" si="174"/>
        <v>0.55216976194169487</v>
      </c>
      <c r="DJ167" s="18">
        <f t="shared" ca="1" si="198"/>
        <v>3.9753761846772915</v>
      </c>
      <c r="DK167" s="18">
        <f t="shared" ca="1" si="199"/>
        <v>4.0018604587731499</v>
      </c>
      <c r="DL167" s="9"/>
      <c r="DM167" s="9"/>
      <c r="DN167" s="9"/>
      <c r="DO167" s="9"/>
      <c r="DP167" s="79">
        <v>2.2397200349956237E-2</v>
      </c>
      <c r="DQ167" s="79">
        <v>3.7589706881045429E-3</v>
      </c>
      <c r="DR167" s="79">
        <v>1.3174823735268376E-2</v>
      </c>
      <c r="DS167" s="79">
        <f t="shared" ca="1" si="175"/>
        <v>6.571780172669673E-3</v>
      </c>
      <c r="DT167" s="47"/>
      <c r="DU167" s="43">
        <f t="shared" si="176"/>
        <v>0.14474114826130141</v>
      </c>
      <c r="DV167" s="83">
        <f t="shared" ca="1" si="177"/>
        <v>2.4358</v>
      </c>
      <c r="DW167" s="83">
        <f t="shared" ca="1" si="178"/>
        <v>3.0023</v>
      </c>
      <c r="DX167" s="83">
        <f t="shared" ca="1" si="179"/>
        <v>-0.5665</v>
      </c>
      <c r="DY167" s="67"/>
      <c r="DZ167" s="67"/>
      <c r="EA167" s="85"/>
      <c r="EB167" s="44">
        <v>673100</v>
      </c>
      <c r="EC167" s="44" cm="1">
        <f t="array" aca="1" ref="EC167" ca="1">_FV(EE167,"Volume")</f>
        <v>278500</v>
      </c>
      <c r="EE167" s="2" t="e" vm="169">
        <v>#VALUE!</v>
      </c>
      <c r="EG167" s="10" cm="1">
        <f t="array" aca="1" ref="EG167" ca="1">_FV(EE167,"Ações em circulação",TRUE)</f>
        <v>105774800</v>
      </c>
      <c r="EH167" s="21">
        <f>VLOOKUP(BH167,Fundamentus!A:U,5,FALSE)</f>
        <v>0.35599999999999998</v>
      </c>
      <c r="EI167" s="2">
        <f t="shared" ca="1" si="180"/>
        <v>1185509696.6292136</v>
      </c>
      <c r="EJ167" s="20">
        <v>81850679.505617976</v>
      </c>
      <c r="EK167" s="20">
        <f t="shared" ca="1" si="181"/>
        <v>84171188.460674152</v>
      </c>
      <c r="EM167" s="40" t="str">
        <f>IF(VLOOKUP(BH167,Fundamentus!A:U,3,FALSE)&lt;15,"Bom",IF(VLOOKUP(BH167,Fundamentus!A:U,3,FALSE)&gt;15,"Ruim","n/a"))</f>
        <v>Bom</v>
      </c>
      <c r="EN167" s="36" t="str">
        <f>IF(VLOOKUP(BH167,Fundamentus!A:U,4,FALSE)&lt;1,"Baixo",IF(VLOOKUP(BH167,Fundamentus!A:U,4,FALSE)&lt;1.5,"Moderado",IF(VLOOKUP(BH167,Fundamentus!A:U,4,FALSE)&gt;1.5,"Alto","n/a")))</f>
        <v>Baixo</v>
      </c>
      <c r="EO167" s="20" t="str">
        <f>IF(VLOOKUP(BH167,Fundamentus!A:U,8,FALSE)&lt;0,"Risco elevado",IF(VLOOKUP(BH167,Fundamentus!A:U,8,FALSE)&lt;1,"Saudável",IF(VLOOKUP(BH167,Fundamentus!A:U,8,FALSE)&lt;3,"Estável",IF(VLOOKUP(BH167,Fundamentus!A:U,8,FALSE)&gt;3,"Alerta","n/a"))))</f>
        <v>Saudável</v>
      </c>
      <c r="EP167" s="36" t="str">
        <f t="shared" si="182"/>
        <v>Ruim</v>
      </c>
      <c r="EQ167" s="20" t="str">
        <f>IF(VLOOKUP(BH167,Fundamentus!A:U,12,FALSE)&lt;2,"Subvalorizada",IF(VLOOKUP(BH167,Fundamentus!A:U,12,FALSE)&lt;6,"Muita barata",IF(VLOOKUP(BH167,Fundamentus!A:U,12,FALSE)&lt;6,"Barata",IF(VLOOKUP(BH167,Fundamentus!A:U,12,FALSE)&lt;8,"Atrativa",IF(VLOOKUP(BH167,Fundamentus!A:U,12,FALSE)&gt;8,"Supervalorizada","n/a")))))</f>
        <v>Atrativa</v>
      </c>
      <c r="ES167" s="20" t="str">
        <f>IF(VLOOKUP(BH167,Fundamentus!A:U,17,FALSE)&lt;0.1,"Fraco retorno",IF(VLOOKUP(BH167,Fundamentus!A:U,17,FALSE)&gt;0.1,"Bom retorno","n/a"))</f>
        <v>Fraco retorno</v>
      </c>
      <c r="ET167" s="20" t="str">
        <f>IF(VLOOKUP(BH167,Fundamentus!A:U,16,FALSE)&lt;0.1,"Ineficiente",IF(VLOOKUP(BH167,Fundamentus!A:U,16,FALSE)&gt;0.1,"Eficiente","n/a"))</f>
        <v>Ineficiente</v>
      </c>
      <c r="EU167" s="41" t="str">
        <f>IF(VLOOKUP(BH167,Fundamentus!A:U,16,FALSE)&lt;0.1,"Oper. Ineficiente",IF(VLOOKUP(BH167,Fundamentus!A:U,16,FALSE)&gt;0.1,"Oper.Eficiente","n/a"))</f>
        <v>Oper. Ineficiente</v>
      </c>
      <c r="EV167" s="42">
        <f>VLOOKUP(BH167,Fundamentus!A:U,14,FALSE)</f>
        <v>7.0999999999999994E-2</v>
      </c>
      <c r="EW167" s="20" t="str">
        <f>IF(VLOOKUP(BH167,Fundamentus!A:U,21,FALSE)&lt;0,"Negativo",IF(VLOOKUP(BH167,Fundamentus!A:U,21,FALSE)&lt;0.05,"Fraco",IF(VLOOKUP(BH167,Fundamentus!A:U,21,FALSE)&lt;0.1,"Bom",IF(VLOOKUP(BH167,Fundamentus!A:U,21,FALSE)&gt;0.1,"Muito bom","n/a"))))</f>
        <v>Muito bom</v>
      </c>
      <c r="EY167" s="37" t="str">
        <f>IF(VLOOKUP(BH167,Fundamentus!A:U,15,FALSE)&gt;1,"Bom",IF(VLOOKUP(BH167,Fundamentus!A:U,15,FALSE)&lt;1,"Ruim","n/a"))</f>
        <v>Bom</v>
      </c>
      <c r="EZ167" s="20" t="str">
        <f>IF(VLOOKUP(BH167,Fundamentus!A:U,20,FALSE)&lt;0.5,"Baixa",IF(VLOOKUP(BH167,Fundamentus!A:U,20,FALSE)&lt;1,"Moderada",IF(VLOOKUP(BH167,Fundamentus!A:U,20,FALSE)&lt;2,"Alerta",IF(VLOOKUP(BH167,Fundamentus!A:U,20,FALSE)&gt;2,"Alta","n/a"))))</f>
        <v>Moderada</v>
      </c>
      <c r="FA167" s="10"/>
    </row>
    <row r="168" spans="1:157" s="2" customFormat="1" ht="11.25" hidden="1" x14ac:dyDescent="0.2">
      <c r="A168" s="4">
        <v>34.25</v>
      </c>
      <c r="B168" s="4">
        <v>33.99</v>
      </c>
      <c r="C168" s="4">
        <v>39.56</v>
      </c>
      <c r="D168" s="4">
        <v>37.68</v>
      </c>
      <c r="E168" s="4">
        <v>36.229999999999997</v>
      </c>
      <c r="F168" s="4">
        <v>38.4</v>
      </c>
      <c r="G168" s="4">
        <v>37.33</v>
      </c>
      <c r="H168" s="4">
        <v>37.869999999999997</v>
      </c>
      <c r="I168" s="4">
        <v>36.159999999999997</v>
      </c>
      <c r="J168" s="4">
        <v>35.82</v>
      </c>
      <c r="K168" s="4">
        <v>40.25</v>
      </c>
      <c r="L168" s="4">
        <v>41.52</v>
      </c>
      <c r="M168" s="4">
        <v>41.52</v>
      </c>
      <c r="N168" s="4">
        <v>39.25</v>
      </c>
      <c r="O168" s="4">
        <v>43.25</v>
      </c>
      <c r="P168" s="4">
        <v>44.58</v>
      </c>
      <c r="Q168" s="4">
        <v>46.03</v>
      </c>
      <c r="R168" s="4">
        <v>46.83</v>
      </c>
      <c r="S168" s="4">
        <v>47.83</v>
      </c>
      <c r="T168" s="4">
        <v>51.93</v>
      </c>
      <c r="U168" s="4">
        <v>48.25</v>
      </c>
      <c r="V168" s="4">
        <v>48.27</v>
      </c>
      <c r="W168" s="4">
        <v>45.94</v>
      </c>
      <c r="X168" s="4">
        <v>45.37</v>
      </c>
      <c r="Y168" s="4">
        <v>49.15</v>
      </c>
      <c r="Z168" s="4">
        <v>49.56</v>
      </c>
      <c r="AA168" s="4">
        <v>48.47</v>
      </c>
      <c r="AB168" s="4">
        <v>53.79</v>
      </c>
      <c r="AC168" s="4">
        <v>55.42</v>
      </c>
      <c r="AD168" s="4">
        <v>56.9</v>
      </c>
      <c r="AE168" s="4">
        <v>58.13</v>
      </c>
      <c r="AF168" s="4">
        <v>57.32</v>
      </c>
      <c r="AG168" s="4">
        <v>55.44</v>
      </c>
      <c r="AH168" s="4">
        <v>55.55</v>
      </c>
      <c r="AI168" s="4">
        <v>56.33</v>
      </c>
      <c r="AJ168" s="4">
        <v>57.03</v>
      </c>
      <c r="AK168" s="4">
        <v>57.3</v>
      </c>
      <c r="AL168" s="4">
        <v>59.88</v>
      </c>
      <c r="AM168" s="4">
        <v>60.97</v>
      </c>
      <c r="AN168" s="4">
        <v>59.7</v>
      </c>
      <c r="AO168" s="4">
        <v>62.3</v>
      </c>
      <c r="AP168" s="4">
        <v>60.35</v>
      </c>
      <c r="AQ168" s="4">
        <v>58.98</v>
      </c>
      <c r="AR168" s="4">
        <v>69.72</v>
      </c>
      <c r="AS168" s="4">
        <v>73.680000000000007</v>
      </c>
      <c r="AT168" s="4">
        <v>74.88</v>
      </c>
      <c r="AU168" s="4">
        <v>74.61</v>
      </c>
      <c r="AV168" s="4">
        <v>66.36</v>
      </c>
      <c r="AW168" s="4">
        <v>60.01</v>
      </c>
      <c r="AX168" s="4">
        <v>60.71</v>
      </c>
      <c r="AY168" s="12">
        <v>63.15</v>
      </c>
      <c r="AZ168" s="12">
        <v>63.52</v>
      </c>
      <c r="BA168" s="12">
        <v>64.92</v>
      </c>
      <c r="BB168" s="18">
        <v>69.459999999999994</v>
      </c>
      <c r="BC168" s="63">
        <v>69.849999999999994</v>
      </c>
      <c r="BD168" s="63">
        <v>67.13</v>
      </c>
      <c r="BE168" s="63">
        <v>65.489999999999995</v>
      </c>
      <c r="BF168" s="63">
        <v>64.510000000000005</v>
      </c>
      <c r="BG168" s="91" cm="1">
        <f t="array" aca="1" ref="BG168" ca="1">_FV(EE168,"Preço")</f>
        <v>66.44</v>
      </c>
      <c r="BH168" s="93" t="s">
        <v>165</v>
      </c>
      <c r="BI168" s="32" cm="1">
        <f t="array" aca="1" ref="BI168" ca="1">_FV(EE168,"Beta")</f>
        <v>0.4753</v>
      </c>
      <c r="BJ168" s="96" cm="1">
        <f t="array" aca="1" ref="BJ168" ca="1">_FV(EE168,"Variação (%)",TRUE)</f>
        <v>-3.5144000000000002E-2</v>
      </c>
      <c r="BK168" s="49"/>
      <c r="BL168" s="49"/>
      <c r="BN168" s="32"/>
      <c r="BO168" s="20" cm="1">
        <f t="array" aca="1" ref="BO168" ca="1">_FV(EE168,"Baixo")</f>
        <v>66.400000000000006</v>
      </c>
      <c r="BP168" s="20" cm="1">
        <f t="array" aca="1" ref="BP168" ca="1">_FV(EE168,"Alto")</f>
        <v>69.099999999999994</v>
      </c>
      <c r="BQ168" s="32"/>
      <c r="BR168" s="74">
        <f ca="1">SQRT(22.5*(BG168/VLOOKUP(BH168,Fundamentus!A:U,3,FALSE))*(BG168/VLOOKUP(BH168,Fundamentus!A:U,4,FALSE)))</f>
        <v>40.569554344932818</v>
      </c>
      <c r="BT168" s="73">
        <f t="shared" ca="1" si="158"/>
        <v>2.9917842195008409E-2</v>
      </c>
      <c r="BU168" s="36">
        <f t="shared" si="159"/>
        <v>0.91211678832116772</v>
      </c>
      <c r="BV168" s="8"/>
      <c r="BW168" s="72">
        <f t="shared" si="160"/>
        <v>33.99</v>
      </c>
      <c r="BX168" s="72">
        <f t="shared" si="161"/>
        <v>53.080689655172421</v>
      </c>
      <c r="BY168" s="72">
        <f t="shared" si="162"/>
        <v>74.88</v>
      </c>
      <c r="BZ168" s="17"/>
      <c r="CA168" s="17"/>
      <c r="CB168" s="43">
        <f t="shared" si="163"/>
        <v>58.380757299146183</v>
      </c>
      <c r="CC168" s="18">
        <f t="shared" si="164"/>
        <v>62.425445173383196</v>
      </c>
      <c r="CD168" s="43">
        <f t="shared" si="165"/>
        <v>66.470133047620209</v>
      </c>
      <c r="CE168" s="98">
        <f t="shared" ca="1" si="166"/>
        <v>0.9925499696003377</v>
      </c>
      <c r="CF168" s="17"/>
      <c r="CG168" s="20">
        <f t="shared" si="167"/>
        <v>-0.18333333333333002</v>
      </c>
      <c r="CH168" s="20">
        <f t="shared" si="168"/>
        <v>16.903333333333336</v>
      </c>
      <c r="CI168" s="20">
        <f t="shared" si="169"/>
        <v>40.706666666666663</v>
      </c>
      <c r="CJ168" s="49">
        <f t="shared" si="170"/>
        <v>57.793333333333329</v>
      </c>
      <c r="CK168" s="20">
        <f t="shared" si="171"/>
        <v>81.596666666666664</v>
      </c>
      <c r="CL168" s="20">
        <f t="shared" si="172"/>
        <v>98.683333333333323</v>
      </c>
      <c r="CM168" s="20">
        <f t="shared" si="173"/>
        <v>122.48666666666665</v>
      </c>
      <c r="CN168" s="2" cm="1">
        <f t="array" aca="1" ref="CN168" ca="1">MAX(_xlfn._xlws.FILTER(CG168:CM168,CG168:CM168&lt;BG168))</f>
        <v>57.793333333333329</v>
      </c>
      <c r="CO168" s="2" cm="1">
        <f t="array" aca="1" ref="CO168" ca="1">MIN(_xlfn._xlws.FILTER($CG168:$CM168,$CG168:$CM168&gt;BG168))</f>
        <v>81.596666666666664</v>
      </c>
      <c r="CP168" s="19">
        <f t="shared" ca="1" si="183"/>
        <v>0.41186988118583456</v>
      </c>
      <c r="CQ168" s="23">
        <f t="shared" ca="1" si="184"/>
        <v>-0.20593494059291728</v>
      </c>
      <c r="CR168" s="23">
        <f t="shared" ca="1" si="185"/>
        <v>-0.13728996039527819</v>
      </c>
      <c r="CS168" s="23">
        <f t="shared" ca="1" si="186"/>
        <v>-8.2373976237166913E-2</v>
      </c>
      <c r="CT168" s="23">
        <f t="shared" ca="1" si="187"/>
        <v>-4.5763320131759398E-2</v>
      </c>
      <c r="CU168" s="23">
        <f t="shared" ca="1" si="188"/>
        <v>-2.4227640069754974E-2</v>
      </c>
      <c r="CV168" s="23">
        <f t="shared" ca="1" si="189"/>
        <v>-1.2480905490479836E-2</v>
      </c>
      <c r="CW168" s="23">
        <f t="shared" ca="1" si="190"/>
        <v>-6.336459710551301E-3</v>
      </c>
      <c r="CX168" s="24">
        <f t="shared" ca="1" si="191"/>
        <v>6.336459710551301E-3</v>
      </c>
      <c r="CY168" s="24">
        <f t="shared" ca="1" si="192"/>
        <v>1.2480905490479836E-2</v>
      </c>
      <c r="CZ168" s="24">
        <f t="shared" ca="1" si="193"/>
        <v>2.4227640069754974E-2</v>
      </c>
      <c r="DA168" s="24">
        <f t="shared" ca="1" si="194"/>
        <v>4.5763320131759398E-2</v>
      </c>
      <c r="DB168" s="24">
        <f t="shared" ca="1" si="195"/>
        <v>8.2373976237166913E-2</v>
      </c>
      <c r="DC168" s="24">
        <f t="shared" ca="1" si="196"/>
        <v>0.13728996039527819</v>
      </c>
      <c r="DD168" s="24">
        <f t="shared" ca="1" si="197"/>
        <v>0.20593494059291728</v>
      </c>
      <c r="DF168" s="19" cm="1">
        <f t="array" aca="1" ref="DF168" ca="1">MAX(_xlfn._xlws.FILTER(CQ168:DD168,CQ168:DD168&lt;BJ168))</f>
        <v>-4.5763320131759398E-2</v>
      </c>
      <c r="DG168" s="19" cm="1">
        <f t="array" aca="1" ref="DG168" ca="1">MIN(_xlfn._xlws.FILTER(CQ168:DD168,CQ168:DD168&gt;BJ168))</f>
        <v>-2.4227640069754974E-2</v>
      </c>
      <c r="DH168" s="2" cm="1">
        <f t="array" aca="1" ref="DH168" ca="1">_FV(EE168,"Fechamento anterior",TRUE)</f>
        <v>68.86</v>
      </c>
      <c r="DI168" s="36">
        <f t="shared" ca="1" si="174"/>
        <v>0.49311422407525635</v>
      </c>
      <c r="DJ168" s="18">
        <f t="shared" ca="1" si="198"/>
        <v>65.708737775727045</v>
      </c>
      <c r="DK168" s="18">
        <f t="shared" ca="1" si="199"/>
        <v>67.191684704796671</v>
      </c>
      <c r="DL168" s="9"/>
      <c r="DM168" s="9"/>
      <c r="DN168" s="9"/>
      <c r="DO168" s="9"/>
      <c r="DP168" s="79">
        <v>1.3612132698256316E-2</v>
      </c>
      <c r="DQ168" s="79">
        <v>1.2617306600879296E-2</v>
      </c>
      <c r="DR168" s="79">
        <v>2.3131728768278705E-2</v>
      </c>
      <c r="DS168" s="79">
        <f t="shared" ca="1" si="175"/>
        <v>2.1535680062004424E-2</v>
      </c>
      <c r="DT168" s="47"/>
      <c r="DU168" s="43">
        <f t="shared" si="176"/>
        <v>2.0223439371185079</v>
      </c>
      <c r="DV168" s="83">
        <f t="shared" ca="1" si="177"/>
        <v>0.90139999999999998</v>
      </c>
      <c r="DW168" s="83">
        <f t="shared" ca="1" si="178"/>
        <v>3.9897</v>
      </c>
      <c r="DX168" s="83">
        <f t="shared" ca="1" si="179"/>
        <v>-3.0883000000000003</v>
      </c>
      <c r="DY168" s="67"/>
      <c r="DZ168" s="67"/>
      <c r="EA168" s="85"/>
      <c r="EB168" s="44">
        <v>5549500</v>
      </c>
      <c r="EC168" s="44" cm="1">
        <f t="array" aca="1" ref="EC168" ca="1">_FV(EE168,"Volume")</f>
        <v>5815400</v>
      </c>
      <c r="EE168" s="2" t="e" vm="170">
        <v>#VALUE!</v>
      </c>
      <c r="EG168" s="10" cm="1">
        <f t="array" aca="1" ref="EG168" ca="1">_FV(EE168,"Ações em circulação",TRUE)</f>
        <v>740465000</v>
      </c>
      <c r="EH168" s="21">
        <f>VLOOKUP(BH168,Fundamentus!A:U,5,FALSE)</f>
        <v>1.321</v>
      </c>
      <c r="EI168" s="2">
        <f t="shared" ca="1" si="180"/>
        <v>37241858137.774414</v>
      </c>
      <c r="EJ168" s="20">
        <v>2158753678.9212718</v>
      </c>
      <c r="EK168" s="20">
        <f t="shared" ca="1" si="181"/>
        <v>2223338930.8251328</v>
      </c>
      <c r="EM168" s="40" t="str">
        <f>IF(VLOOKUP(BH168,Fundamentus!A:U,3,FALSE)&lt;15,"Bom",IF(VLOOKUP(BH168,Fundamentus!A:U,3,FALSE)&gt;15,"Ruim","n/a"))</f>
        <v>Ruim</v>
      </c>
      <c r="EN168" s="36" t="str">
        <f>IF(VLOOKUP(BH168,Fundamentus!A:U,4,FALSE)&lt;1,"Baixo",IF(VLOOKUP(BH168,Fundamentus!A:U,4,FALSE)&lt;1.5,"Moderado",IF(VLOOKUP(BH168,Fundamentus!A:U,4,FALSE)&gt;1.5,"Alto","n/a")))</f>
        <v>Alto</v>
      </c>
      <c r="EO168" s="20" t="str">
        <f>IF(VLOOKUP(BH168,Fundamentus!A:U,8,FALSE)&lt;0,"Risco elevado",IF(VLOOKUP(BH168,Fundamentus!A:U,8,FALSE)&lt;1,"Saudável",IF(VLOOKUP(BH168,Fundamentus!A:U,8,FALSE)&lt;3,"Estável",IF(VLOOKUP(BH168,Fundamentus!A:U,8,FALSE)&gt;3,"Alerta","n/a"))))</f>
        <v>Alerta</v>
      </c>
      <c r="EP168" s="36" t="str">
        <f t="shared" si="182"/>
        <v>Bom</v>
      </c>
      <c r="EQ168" s="20" t="str">
        <f>IF(VLOOKUP(BH168,Fundamentus!A:U,12,FALSE)&lt;2,"Subvalorizada",IF(VLOOKUP(BH168,Fundamentus!A:U,12,FALSE)&lt;6,"Muita barata",IF(VLOOKUP(BH168,Fundamentus!A:U,12,FALSE)&lt;6,"Barata",IF(VLOOKUP(BH168,Fundamentus!A:U,12,FALSE)&lt;8,"Atrativa",IF(VLOOKUP(BH168,Fundamentus!A:U,12,FALSE)&gt;8,"Supervalorizada","n/a")))))</f>
        <v>Supervalorizada</v>
      </c>
      <c r="ES168" s="20" t="str">
        <f>IF(VLOOKUP(BH168,Fundamentus!A:U,17,FALSE)&lt;0.1,"Fraco retorno",IF(VLOOKUP(BH168,Fundamentus!A:U,17,FALSE)&gt;0.1,"Bom retorno","n/a"))</f>
        <v>Bom retorno</v>
      </c>
      <c r="ET168" s="20" t="str">
        <f>IF(VLOOKUP(BH168,Fundamentus!A:U,16,FALSE)&lt;0.1,"Ineficiente",IF(VLOOKUP(BH168,Fundamentus!A:U,16,FALSE)&gt;0.1,"Eficiente","n/a"))</f>
        <v>Ineficiente</v>
      </c>
      <c r="EU168" s="41" t="str">
        <f>IF(VLOOKUP(BH168,Fundamentus!A:U,16,FALSE)&lt;0.1,"Oper. Ineficiente",IF(VLOOKUP(BH168,Fundamentus!A:U,16,FALSE)&gt;0.1,"Oper.Eficiente","n/a"))</f>
        <v>Oper. Ineficiente</v>
      </c>
      <c r="EV168" s="42">
        <f>VLOOKUP(BH168,Fundamentus!A:U,14,FALSE)</f>
        <v>5.9700000000000003E-2</v>
      </c>
      <c r="EW168" s="20" t="str">
        <f>IF(VLOOKUP(BH168,Fundamentus!A:U,21,FALSE)&lt;0,"Negativo",IF(VLOOKUP(BH168,Fundamentus!A:U,21,FALSE)&lt;0.05,"Fraco",IF(VLOOKUP(BH168,Fundamentus!A:U,21,FALSE)&lt;0.1,"Bom",IF(VLOOKUP(BH168,Fundamentus!A:U,21,FALSE)&gt;0.1,"Muito bom","n/a"))))</f>
        <v>Muito bom</v>
      </c>
      <c r="EY168" s="37" t="str">
        <f>IF(VLOOKUP(BH168,Fundamentus!A:U,15,FALSE)&gt;1,"Bom",IF(VLOOKUP(BH168,Fundamentus!A:U,15,FALSE)&lt;1,"Ruim","n/a"))</f>
        <v>Bom</v>
      </c>
      <c r="EZ168" s="20" t="str">
        <f>IF(VLOOKUP(BH168,Fundamentus!A:U,20,FALSE)&lt;0.5,"Baixa",IF(VLOOKUP(BH168,Fundamentus!A:U,20,FALSE)&lt;1,"Moderada",IF(VLOOKUP(BH168,Fundamentus!A:U,20,FALSE)&lt;2,"Alerta",IF(VLOOKUP(BH168,Fundamentus!A:U,20,FALSE)&gt;2,"Alta","n/a"))))</f>
        <v>Moderada</v>
      </c>
      <c r="FA168" s="10"/>
    </row>
    <row r="169" spans="1:157" s="2" customFormat="1" ht="11.25" hidden="1" x14ac:dyDescent="0.2">
      <c r="A169" s="4">
        <v>8.0500000000000007</v>
      </c>
      <c r="B169" s="4">
        <v>8.02</v>
      </c>
      <c r="C169" s="4">
        <v>8.0299999999999994</v>
      </c>
      <c r="D169" s="4">
        <v>7.91</v>
      </c>
      <c r="E169" s="4">
        <v>7.79</v>
      </c>
      <c r="F169" s="4">
        <v>7.93</v>
      </c>
      <c r="G169" s="4">
        <v>7.86</v>
      </c>
      <c r="H169" s="4">
        <v>7.82</v>
      </c>
      <c r="I169" s="4">
        <v>7.82</v>
      </c>
      <c r="J169" s="4">
        <v>7.86</v>
      </c>
      <c r="K169" s="4">
        <v>8.3699999999999992</v>
      </c>
      <c r="L169" s="4">
        <v>7.95</v>
      </c>
      <c r="M169" s="4">
        <v>7.68</v>
      </c>
      <c r="N169" s="4">
        <v>8.0299999999999994</v>
      </c>
      <c r="O169" s="4">
        <v>8.25</v>
      </c>
      <c r="P169" s="4">
        <v>8.4499999999999993</v>
      </c>
      <c r="Q169" s="4">
        <v>8.5500000000000007</v>
      </c>
      <c r="R169" s="4">
        <v>8.14</v>
      </c>
      <c r="S169" s="4">
        <v>8.36</v>
      </c>
      <c r="T169" s="4">
        <v>8.49</v>
      </c>
      <c r="U169" s="4">
        <v>8.06</v>
      </c>
      <c r="V169" s="4">
        <v>7.94</v>
      </c>
      <c r="W169" s="4">
        <v>7.68</v>
      </c>
      <c r="X169" s="4">
        <v>7.58</v>
      </c>
      <c r="Y169" s="4">
        <v>7.53</v>
      </c>
      <c r="Z169" s="4">
        <v>7.58</v>
      </c>
      <c r="AA169" s="4">
        <v>7.31</v>
      </c>
      <c r="AB169" s="4">
        <v>7.39</v>
      </c>
      <c r="AC169" s="4">
        <v>7.21</v>
      </c>
      <c r="AD169" s="4">
        <v>7.33</v>
      </c>
      <c r="AE169" s="4">
        <v>7.16</v>
      </c>
      <c r="AF169" s="4">
        <v>7.05</v>
      </c>
      <c r="AG169" s="4">
        <v>6.86</v>
      </c>
      <c r="AH169" s="4">
        <v>6.98</v>
      </c>
      <c r="AI169" s="4">
        <v>6.57</v>
      </c>
      <c r="AJ169" s="4">
        <v>6.34</v>
      </c>
      <c r="AK169" s="4">
        <v>6.62</v>
      </c>
      <c r="AL169" s="4">
        <v>6.52</v>
      </c>
      <c r="AM169" s="4">
        <v>6.62</v>
      </c>
      <c r="AN169" s="4">
        <v>6.97</v>
      </c>
      <c r="AO169" s="4">
        <v>7.15</v>
      </c>
      <c r="AP169" s="4">
        <v>7.3</v>
      </c>
      <c r="AQ169" s="4">
        <v>7.26</v>
      </c>
      <c r="AR169" s="4">
        <v>6.79</v>
      </c>
      <c r="AS169" s="4">
        <v>6.87</v>
      </c>
      <c r="AT169" s="4">
        <v>7.18</v>
      </c>
      <c r="AU169" s="4">
        <v>7.5299999999999994</v>
      </c>
      <c r="AV169" s="4">
        <v>7.24</v>
      </c>
      <c r="AW169" s="4">
        <v>7.44</v>
      </c>
      <c r="AX169" s="4">
        <v>7.47</v>
      </c>
      <c r="AY169" s="12">
        <v>7.69</v>
      </c>
      <c r="AZ169" s="12">
        <v>8.1300000000000008</v>
      </c>
      <c r="BA169" s="12">
        <v>8.43</v>
      </c>
      <c r="BB169" s="18">
        <v>8.5399999999999991</v>
      </c>
      <c r="BC169" s="63">
        <v>8.41</v>
      </c>
      <c r="BD169" s="63">
        <v>8.69</v>
      </c>
      <c r="BE169" s="63">
        <v>8.89</v>
      </c>
      <c r="BF169" s="63">
        <v>8.64</v>
      </c>
      <c r="BG169" s="91" cm="1">
        <f t="array" aca="1" ref="BG169" ca="1">_FV(EE169,"Preço")</f>
        <v>8.52</v>
      </c>
      <c r="BH169" s="93" t="s">
        <v>166</v>
      </c>
      <c r="BI169" s="32" cm="1">
        <f t="array" aca="1" ref="BI169" ca="1">_FV(EE169,"Beta")</f>
        <v>0.96179999999999999</v>
      </c>
      <c r="BJ169" s="96" cm="1">
        <f t="array" aca="1" ref="BJ169" ca="1">_FV(EE169,"Variação (%)",TRUE)</f>
        <v>0</v>
      </c>
      <c r="BK169" s="49"/>
      <c r="BL169" s="49"/>
      <c r="BN169" s="32"/>
      <c r="BO169" s="20" cm="1">
        <f t="array" aca="1" ref="BO169" ca="1">_FV(EE169,"Baixo")</f>
        <v>8.4</v>
      </c>
      <c r="BP169" s="20" cm="1">
        <f t="array" aca="1" ref="BP169" ca="1">_FV(EE169,"Alto")</f>
        <v>8.74</v>
      </c>
      <c r="BQ169" s="32"/>
      <c r="BR169" s="74">
        <f ca="1">SQRT(22.5*(BG169/VLOOKUP(BH169,Fundamentus!A:U,3,FALSE))*(BG169/VLOOKUP(BH169,Fundamentus!A:U,4,FALSE)))</f>
        <v>16.268444987382562</v>
      </c>
      <c r="BT169" s="73">
        <f t="shared" ca="1" si="158"/>
        <v>-1.3888888888889003E-2</v>
      </c>
      <c r="BU169" s="36">
        <f t="shared" si="159"/>
        <v>0.10434782608695649</v>
      </c>
      <c r="BV169" s="8"/>
      <c r="BW169" s="72">
        <f t="shared" si="160"/>
        <v>6.34</v>
      </c>
      <c r="BX169" s="72">
        <f t="shared" si="161"/>
        <v>7.6605172413793126</v>
      </c>
      <c r="BY169" s="72">
        <f t="shared" si="162"/>
        <v>8.89</v>
      </c>
      <c r="BZ169" s="17"/>
      <c r="CA169" s="17"/>
      <c r="CB169" s="43">
        <f t="shared" si="163"/>
        <v>8.5396692614082266</v>
      </c>
      <c r="CC169" s="18">
        <f t="shared" si="164"/>
        <v>8.881246485473298</v>
      </c>
      <c r="CD169" s="43">
        <f t="shared" si="165"/>
        <v>9.2228237095383694</v>
      </c>
      <c r="CE169" s="98">
        <f t="shared" ca="1" si="166"/>
        <v>-1.0575836444073916</v>
      </c>
      <c r="CF169" s="17"/>
      <c r="CG169" s="20">
        <f t="shared" si="167"/>
        <v>4.4733333333333327</v>
      </c>
      <c r="CH169" s="20">
        <f t="shared" si="168"/>
        <v>5.4066666666666663</v>
      </c>
      <c r="CI169" s="20">
        <f t="shared" si="169"/>
        <v>7.0233333333333334</v>
      </c>
      <c r="CJ169" s="49">
        <f t="shared" si="170"/>
        <v>7.956666666666667</v>
      </c>
      <c r="CK169" s="20">
        <f t="shared" si="171"/>
        <v>9.5733333333333341</v>
      </c>
      <c r="CL169" s="20">
        <f t="shared" si="172"/>
        <v>10.506666666666668</v>
      </c>
      <c r="CM169" s="20">
        <f t="shared" si="173"/>
        <v>12.123333333333335</v>
      </c>
      <c r="CN169" s="2" cm="1">
        <f t="array" aca="1" ref="CN169" ca="1">MAX(_xlfn._xlws.FILTER(CG169:CM169,CG169:CM169&lt;BG169))</f>
        <v>7.956666666666667</v>
      </c>
      <c r="CO169" s="2" cm="1">
        <f t="array" aca="1" ref="CO169" ca="1">MIN(_xlfn._xlws.FILTER($CG169:$CM169,$CG169:$CM169&gt;BG169))</f>
        <v>9.5733333333333341</v>
      </c>
      <c r="CP169" s="19">
        <f t="shared" ca="1" si="183"/>
        <v>0.20318391286133219</v>
      </c>
      <c r="CQ169" s="23">
        <f t="shared" ca="1" si="184"/>
        <v>-0.1015919564306661</v>
      </c>
      <c r="CR169" s="23">
        <f t="shared" ca="1" si="185"/>
        <v>-6.7727970953777403E-2</v>
      </c>
      <c r="CS169" s="23">
        <f t="shared" ca="1" si="186"/>
        <v>-4.0636782572266439E-2</v>
      </c>
      <c r="CT169" s="23">
        <f t="shared" ca="1" si="187"/>
        <v>-2.2575990317925801E-2</v>
      </c>
      <c r="CU169" s="23">
        <f t="shared" ca="1" si="188"/>
        <v>-1.1951994874196011E-2</v>
      </c>
      <c r="CV169" s="23">
        <f t="shared" ca="1" si="189"/>
        <v>-6.1570882685252184E-3</v>
      </c>
      <c r="CW169" s="23">
        <f t="shared" ca="1" si="190"/>
        <v>-3.1259063517128029E-3</v>
      </c>
      <c r="CX169" s="24">
        <f t="shared" ca="1" si="191"/>
        <v>3.1259063517128029E-3</v>
      </c>
      <c r="CY169" s="24">
        <f t="shared" ca="1" si="192"/>
        <v>6.1570882685252184E-3</v>
      </c>
      <c r="CZ169" s="24">
        <f t="shared" ca="1" si="193"/>
        <v>1.1951994874196011E-2</v>
      </c>
      <c r="DA169" s="24">
        <f t="shared" ca="1" si="194"/>
        <v>2.2575990317925801E-2</v>
      </c>
      <c r="DB169" s="24">
        <f t="shared" ca="1" si="195"/>
        <v>4.0636782572266439E-2</v>
      </c>
      <c r="DC169" s="24">
        <f t="shared" ca="1" si="196"/>
        <v>6.7727970953777403E-2</v>
      </c>
      <c r="DD169" s="24">
        <f t="shared" ca="1" si="197"/>
        <v>0.1015919564306661</v>
      </c>
      <c r="DF169" s="19" cm="1">
        <f t="array" aca="1" ref="DF169" ca="1">MAX(_xlfn._xlws.FILTER(CQ169:DD169,CQ169:DD169&lt;BJ169))</f>
        <v>-3.1259063517128029E-3</v>
      </c>
      <c r="DG169" s="19" cm="1">
        <f t="array" aca="1" ref="DG169" ca="1">MIN(_xlfn._xlws.FILTER(CQ169:DD169,CQ169:DD169&gt;BJ169))</f>
        <v>3.1259063517128029E-3</v>
      </c>
      <c r="DH169" s="2" cm="1">
        <f t="array" aca="1" ref="DH169" ca="1">_FV(EE169,"Fechamento anterior",TRUE)</f>
        <v>8.52</v>
      </c>
      <c r="DI169" s="36">
        <f t="shared" ca="1" si="174"/>
        <v>0.5</v>
      </c>
      <c r="DJ169" s="18">
        <f t="shared" ca="1" si="198"/>
        <v>8.4933672778834062</v>
      </c>
      <c r="DK169" s="18">
        <f t="shared" ca="1" si="199"/>
        <v>8.546632722116593</v>
      </c>
      <c r="DL169" s="9"/>
      <c r="DM169" s="9"/>
      <c r="DN169" s="9"/>
      <c r="DO169" s="9"/>
      <c r="DP169" s="79">
        <v>8.9349311360696609E-3</v>
      </c>
      <c r="DQ169" s="79">
        <v>9.5680884037463772E-3</v>
      </c>
      <c r="DR169" s="79">
        <v>1.6265750286368844E-2</v>
      </c>
      <c r="DS169" s="79">
        <f t="shared" ca="1" si="175"/>
        <v>6.2518127034256058E-3</v>
      </c>
      <c r="DT169" s="47"/>
      <c r="DU169" s="43">
        <f t="shared" si="176"/>
        <v>0.17078861203253581</v>
      </c>
      <c r="DV169" s="83">
        <f t="shared" ca="1" si="177"/>
        <v>1.3878999999999999</v>
      </c>
      <c r="DW169" s="83">
        <f t="shared" ca="1" si="178"/>
        <v>0.96179999999999999</v>
      </c>
      <c r="DX169" s="83">
        <f t="shared" ca="1" si="179"/>
        <v>0.42609999999999992</v>
      </c>
      <c r="DY169" s="67"/>
      <c r="DZ169" s="67"/>
      <c r="EA169" s="85"/>
      <c r="EB169" s="44">
        <v>5100</v>
      </c>
      <c r="EC169" s="44" cm="1">
        <f t="array" aca="1" ref="EC169" ca="1">_FV(EE169,"Volume")</f>
        <v>5100</v>
      </c>
      <c r="EE169" s="2" t="e" vm="171">
        <v>#VALUE!</v>
      </c>
      <c r="EG169" s="10" cm="1">
        <f t="array" aca="1" ref="EG169" ca="1">_FV(EE169,"Ações em circulação",TRUE)</f>
        <v>2289425000</v>
      </c>
      <c r="EH169" s="21">
        <f>VLOOKUP(BH169,Fundamentus!A:U,5,FALSE)</f>
        <v>0.59099999999999997</v>
      </c>
      <c r="EI169" s="2">
        <f t="shared" ca="1" si="180"/>
        <v>33004908629.441628</v>
      </c>
      <c r="EJ169" s="20">
        <v>4438091037.5634518</v>
      </c>
      <c r="EK169" s="20">
        <f t="shared" ca="1" si="181"/>
        <v>4376450884.2639599</v>
      </c>
      <c r="EM169" s="40" t="str">
        <f>IF(VLOOKUP(BH169,Fundamentus!A:U,3,FALSE)&lt;15,"Bom",IF(VLOOKUP(BH169,Fundamentus!A:U,3,FALSE)&gt;15,"Ruim","n/a"))</f>
        <v>Bom</v>
      </c>
      <c r="EN169" s="36" t="str">
        <f>IF(VLOOKUP(BH169,Fundamentus!A:U,4,FALSE)&lt;1,"Baixo",IF(VLOOKUP(BH169,Fundamentus!A:U,4,FALSE)&lt;1.5,"Moderado",IF(VLOOKUP(BH169,Fundamentus!A:U,4,FALSE)&gt;1.5,"Alto","n/a")))</f>
        <v>Moderado</v>
      </c>
      <c r="EO169" s="20" t="str">
        <f>IF(VLOOKUP(BH169,Fundamentus!A:U,8,FALSE)&lt;0,"Risco elevado",IF(VLOOKUP(BH169,Fundamentus!A:U,8,FALSE)&lt;1,"Saudável",IF(VLOOKUP(BH169,Fundamentus!A:U,8,FALSE)&lt;3,"Estável",IF(VLOOKUP(BH169,Fundamentus!A:U,8,FALSE)&gt;3,"Alerta","n/a"))))</f>
        <v>Alerta</v>
      </c>
      <c r="EP169" s="36" t="str">
        <f t="shared" si="182"/>
        <v>Ruim</v>
      </c>
      <c r="EQ169" s="20" t="str">
        <f>IF(VLOOKUP(BH169,Fundamentus!A:U,12,FALSE)&lt;2,"Subvalorizada",IF(VLOOKUP(BH169,Fundamentus!A:U,12,FALSE)&lt;6,"Muita barata",IF(VLOOKUP(BH169,Fundamentus!A:U,12,FALSE)&lt;6,"Barata",IF(VLOOKUP(BH169,Fundamentus!A:U,12,FALSE)&lt;8,"Atrativa",IF(VLOOKUP(BH169,Fundamentus!A:U,12,FALSE)&gt;8,"Supervalorizada","n/a")))))</f>
        <v>Muita barata</v>
      </c>
      <c r="ES169" s="20" t="str">
        <f>IF(VLOOKUP(BH169,Fundamentus!A:U,17,FALSE)&lt;0.1,"Fraco retorno",IF(VLOOKUP(BH169,Fundamentus!A:U,17,FALSE)&gt;0.1,"Bom retorno","n/a"))</f>
        <v>Bom retorno</v>
      </c>
      <c r="ET169" s="20" t="str">
        <f>IF(VLOOKUP(BH169,Fundamentus!A:U,16,FALSE)&lt;0.1,"Ineficiente",IF(VLOOKUP(BH169,Fundamentus!A:U,16,FALSE)&gt;0.1,"Eficiente","n/a"))</f>
        <v>Ineficiente</v>
      </c>
      <c r="EU169" s="41" t="str">
        <f>IF(VLOOKUP(BH169,Fundamentus!A:U,16,FALSE)&lt;0.1,"Oper. Ineficiente",IF(VLOOKUP(BH169,Fundamentus!A:U,16,FALSE)&gt;0.1,"Oper.Eficiente","n/a"))</f>
        <v>Oper. Ineficiente</v>
      </c>
      <c r="EV169" s="42">
        <f>VLOOKUP(BH169,Fundamentus!A:U,14,FALSE)</f>
        <v>0.1326</v>
      </c>
      <c r="EW169" s="20" t="str">
        <f>IF(VLOOKUP(BH169,Fundamentus!A:U,21,FALSE)&lt;0,"Negativo",IF(VLOOKUP(BH169,Fundamentus!A:U,21,FALSE)&lt;0.05,"Fraco",IF(VLOOKUP(BH169,Fundamentus!A:U,21,FALSE)&lt;0.1,"Bom",IF(VLOOKUP(BH169,Fundamentus!A:U,21,FALSE)&gt;0.1,"Muito bom","n/a"))))</f>
        <v>Muito bom</v>
      </c>
      <c r="EY169" s="37" t="str">
        <f>IF(VLOOKUP(BH169,Fundamentus!A:U,15,FALSE)&gt;1,"Bom",IF(VLOOKUP(BH169,Fundamentus!A:U,15,FALSE)&lt;1,"Ruim","n/a"))</f>
        <v>Bom</v>
      </c>
      <c r="EZ169" s="20" t="str">
        <f>IF(VLOOKUP(BH169,Fundamentus!A:U,20,FALSE)&lt;0.5,"Baixa",IF(VLOOKUP(BH169,Fundamentus!A:U,20,FALSE)&lt;1,"Moderada",IF(VLOOKUP(BH169,Fundamentus!A:U,20,FALSE)&lt;2,"Alerta",IF(VLOOKUP(BH169,Fundamentus!A:U,20,FALSE)&gt;2,"Alta","n/a"))))</f>
        <v>Alta</v>
      </c>
      <c r="FA169" s="10"/>
    </row>
    <row r="170" spans="1:157" s="2" customFormat="1" ht="11.25" hidden="1" x14ac:dyDescent="0.2">
      <c r="A170" s="4">
        <v>3.8</v>
      </c>
      <c r="B170" s="4">
        <v>3.64</v>
      </c>
      <c r="C170" s="4">
        <v>3.98</v>
      </c>
      <c r="D170" s="4">
        <v>3.77</v>
      </c>
      <c r="E170" s="4">
        <v>3.47</v>
      </c>
      <c r="F170" s="4">
        <v>3.45</v>
      </c>
      <c r="G170" s="4">
        <v>3.26</v>
      </c>
      <c r="H170" s="4">
        <v>3.1</v>
      </c>
      <c r="I170" s="4">
        <v>3.15</v>
      </c>
      <c r="J170" s="4">
        <v>3.61</v>
      </c>
      <c r="K170" s="4">
        <v>3.88</v>
      </c>
      <c r="L170" s="4">
        <v>3.48</v>
      </c>
      <c r="M170" s="4">
        <v>3.49</v>
      </c>
      <c r="N170" s="4">
        <v>3.54</v>
      </c>
      <c r="O170" s="4">
        <v>3.7</v>
      </c>
      <c r="P170" s="4">
        <v>3.5</v>
      </c>
      <c r="Q170" s="4">
        <v>3.45</v>
      </c>
      <c r="R170" s="4">
        <v>3.28</v>
      </c>
      <c r="S170" s="4">
        <v>3.26</v>
      </c>
      <c r="T170" s="4">
        <v>3.17</v>
      </c>
      <c r="U170" s="4">
        <v>2.76</v>
      </c>
      <c r="V170" s="4">
        <v>2.41</v>
      </c>
      <c r="W170" s="4">
        <v>2.41</v>
      </c>
      <c r="X170" s="4">
        <v>2.31</v>
      </c>
      <c r="Y170" s="4">
        <v>2.42</v>
      </c>
      <c r="Z170" s="4">
        <v>2.5499999999999998</v>
      </c>
      <c r="AA170" s="4">
        <v>2.3199999999999998</v>
      </c>
      <c r="AB170" s="4">
        <v>2.36</v>
      </c>
      <c r="AC170" s="4">
        <v>2.3199999999999998</v>
      </c>
      <c r="AD170" s="4">
        <v>2.4300000000000002</v>
      </c>
      <c r="AE170" s="4">
        <v>2.14</v>
      </c>
      <c r="AF170" s="4">
        <v>1.97</v>
      </c>
      <c r="AG170" s="4">
        <v>1.91</v>
      </c>
      <c r="AH170" s="4">
        <v>1.62</v>
      </c>
      <c r="AI170" s="4">
        <v>1.58</v>
      </c>
      <c r="AJ170" s="4">
        <v>1.53</v>
      </c>
      <c r="AK170" s="4">
        <v>1.55</v>
      </c>
      <c r="AL170" s="4">
        <v>1.63</v>
      </c>
      <c r="AM170" s="4">
        <v>1.85</v>
      </c>
      <c r="AN170" s="4">
        <v>2.06</v>
      </c>
      <c r="AO170" s="4">
        <v>1.93</v>
      </c>
      <c r="AP170" s="4">
        <v>2.2200000000000002</v>
      </c>
      <c r="AQ170" s="4">
        <v>2.14</v>
      </c>
      <c r="AR170" s="4">
        <v>1.69</v>
      </c>
      <c r="AS170" s="4">
        <v>1.85</v>
      </c>
      <c r="AT170" s="4">
        <v>2.09</v>
      </c>
      <c r="AU170" s="4">
        <v>2.1949999999999998</v>
      </c>
      <c r="AV170" s="4">
        <v>2.5</v>
      </c>
      <c r="AW170" s="4">
        <v>2.36</v>
      </c>
      <c r="AX170" s="4">
        <v>2.5299999999999998</v>
      </c>
      <c r="AY170" s="12">
        <v>3.1</v>
      </c>
      <c r="AZ170" s="12">
        <v>3.04</v>
      </c>
      <c r="BA170" s="12">
        <v>3.19</v>
      </c>
      <c r="BB170" s="18">
        <v>3.52</v>
      </c>
      <c r="BC170" s="63">
        <v>4.29</v>
      </c>
      <c r="BD170" s="63">
        <v>3.95</v>
      </c>
      <c r="BE170" s="63">
        <v>4.25</v>
      </c>
      <c r="BF170" s="63">
        <v>3.95</v>
      </c>
      <c r="BG170" s="91" cm="1">
        <f t="array" aca="1" ref="BG170" ca="1">_FV(EE170,"Preço")</f>
        <v>4.03</v>
      </c>
      <c r="BH170" s="93" t="s">
        <v>167</v>
      </c>
      <c r="BI170" s="32" cm="1">
        <f t="array" aca="1" ref="BI170" ca="1">_FV(EE170,"Beta")</f>
        <v>2.8243999999999998</v>
      </c>
      <c r="BJ170" s="96" cm="1">
        <f t="array" aca="1" ref="BJ170" ca="1">_FV(EE170,"Variação (%)",TRUE)</f>
        <v>-1.4670000000000001E-2</v>
      </c>
      <c r="BK170" s="49"/>
      <c r="BL170" s="49"/>
      <c r="BN170" s="32"/>
      <c r="BO170" s="20" cm="1">
        <f t="array" aca="1" ref="BO170" ca="1">_FV(EE170,"Baixo")</f>
        <v>3.96</v>
      </c>
      <c r="BP170" s="20" cm="1">
        <f t="array" aca="1" ref="BP170" ca="1">_FV(EE170,"Alto")</f>
        <v>4.09</v>
      </c>
      <c r="BQ170" s="32"/>
      <c r="BR170" s="74">
        <f ca="1">SQRT(22.5*(BG170/VLOOKUP(BH170,Fundamentus!A:U,3,FALSE))*(BG170/VLOOKUP(BH170,Fundamentus!A:U,4,FALSE)))</f>
        <v>6.1373246844929925</v>
      </c>
      <c r="BT170" s="73">
        <f t="shared" ca="1" si="158"/>
        <v>2.0253164556962043E-2</v>
      </c>
      <c r="BU170" s="36">
        <f t="shared" si="159"/>
        <v>0.118421052631579</v>
      </c>
      <c r="BV170" s="8"/>
      <c r="BW170" s="72">
        <f t="shared" si="160"/>
        <v>1.53</v>
      </c>
      <c r="BX170" s="72">
        <f t="shared" si="161"/>
        <v>2.808706896551723</v>
      </c>
      <c r="BY170" s="72">
        <f t="shared" si="162"/>
        <v>4.29</v>
      </c>
      <c r="BZ170" s="17"/>
      <c r="CA170" s="17"/>
      <c r="CB170" s="43">
        <f t="shared" si="163"/>
        <v>3.6090898264800391</v>
      </c>
      <c r="CC170" s="18">
        <f t="shared" si="164"/>
        <v>3.9303373945642193</v>
      </c>
      <c r="CD170" s="43">
        <f t="shared" si="165"/>
        <v>4.2515849626483995</v>
      </c>
      <c r="CE170" s="98">
        <f t="shared" ca="1" si="166"/>
        <v>0.31023613977885506</v>
      </c>
      <c r="CF170" s="17"/>
      <c r="CG170" s="20">
        <f t="shared" si="167"/>
        <v>-0.53666666666666729</v>
      </c>
      <c r="CH170" s="20">
        <f t="shared" si="168"/>
        <v>0.49666666666666659</v>
      </c>
      <c r="CI170" s="20">
        <f t="shared" si="169"/>
        <v>2.2233333333333327</v>
      </c>
      <c r="CJ170" s="49">
        <f t="shared" si="170"/>
        <v>3.2566666666666664</v>
      </c>
      <c r="CK170" s="20">
        <f t="shared" si="171"/>
        <v>4.9833333333333325</v>
      </c>
      <c r="CL170" s="20">
        <f t="shared" si="172"/>
        <v>6.0166666666666657</v>
      </c>
      <c r="CM170" s="20">
        <f t="shared" si="173"/>
        <v>7.7433333333333323</v>
      </c>
      <c r="CN170" s="2" cm="1">
        <f t="array" aca="1" ref="CN170" ca="1">MAX(_xlfn._xlws.FILTER(CG170:CM170,CG170:CM170&lt;BG170))</f>
        <v>3.2566666666666664</v>
      </c>
      <c r="CO170" s="2" cm="1">
        <f t="array" aca="1" ref="CO170" ca="1">MIN(_xlfn._xlws.FILTER($CG170:$CM170,$CG170:$CM170&gt;BG170))</f>
        <v>4.9833333333333325</v>
      </c>
      <c r="CP170" s="19">
        <f t="shared" ca="1" si="183"/>
        <v>0.5301944728761514</v>
      </c>
      <c r="CQ170" s="23">
        <f t="shared" ca="1" si="184"/>
        <v>-0.2650972364380757</v>
      </c>
      <c r="CR170" s="23">
        <f t="shared" ca="1" si="185"/>
        <v>-0.17673149095871712</v>
      </c>
      <c r="CS170" s="23">
        <f t="shared" ca="1" si="186"/>
        <v>-0.10603889457523027</v>
      </c>
      <c r="CT170" s="23">
        <f t="shared" ca="1" si="187"/>
        <v>-5.8910496986239042E-2</v>
      </c>
      <c r="CU170" s="23">
        <f t="shared" ca="1" si="188"/>
        <v>-3.1187910169185377E-2</v>
      </c>
      <c r="CV170" s="23">
        <f t="shared" ca="1" si="189"/>
        <v>-1.6066499178065193E-2</v>
      </c>
      <c r="CW170" s="23">
        <f t="shared" ca="1" si="190"/>
        <v>-8.1568380442484829E-3</v>
      </c>
      <c r="CX170" s="24">
        <f t="shared" ca="1" si="191"/>
        <v>8.1568380442484829E-3</v>
      </c>
      <c r="CY170" s="24">
        <f t="shared" ca="1" si="192"/>
        <v>1.6066499178065193E-2</v>
      </c>
      <c r="CZ170" s="24">
        <f t="shared" ca="1" si="193"/>
        <v>3.1187910169185377E-2</v>
      </c>
      <c r="DA170" s="24">
        <f t="shared" ca="1" si="194"/>
        <v>5.8910496986239042E-2</v>
      </c>
      <c r="DB170" s="24">
        <f t="shared" ca="1" si="195"/>
        <v>0.10603889457523027</v>
      </c>
      <c r="DC170" s="24">
        <f t="shared" ca="1" si="196"/>
        <v>0.17673149095871712</v>
      </c>
      <c r="DD170" s="24">
        <f t="shared" ca="1" si="197"/>
        <v>0.2650972364380757</v>
      </c>
      <c r="DF170" s="19" cm="1">
        <f t="array" aca="1" ref="DF170" ca="1">MAX(_xlfn._xlws.FILTER(CQ170:DD170,CQ170:DD170&lt;BJ170))</f>
        <v>-1.6066499178065193E-2</v>
      </c>
      <c r="DG170" s="19" cm="1">
        <f t="array" aca="1" ref="DG170" ca="1">MIN(_xlfn._xlws.FILTER(CQ170:DD170,CQ170:DD170&gt;BJ170))</f>
        <v>-8.1568380442484829E-3</v>
      </c>
      <c r="DH170" s="2" cm="1">
        <f t="array" aca="1" ref="DH170" ca="1">_FV(EE170,"Fechamento anterior",TRUE)</f>
        <v>4.09</v>
      </c>
      <c r="DI170" s="36">
        <f t="shared" ca="1" si="174"/>
        <v>0.17656540578301599</v>
      </c>
      <c r="DJ170" s="18">
        <f t="shared" ca="1" si="198"/>
        <v>4.0242880183617133</v>
      </c>
      <c r="DK170" s="18">
        <f t="shared" ca="1" si="199"/>
        <v>4.0566385323990239</v>
      </c>
      <c r="DL170" s="9"/>
      <c r="DM170" s="9"/>
      <c r="DN170" s="9"/>
      <c r="DO170" s="9"/>
      <c r="DP170" s="79">
        <v>4.6477246477246478E-2</v>
      </c>
      <c r="DQ170" s="79">
        <v>2.7339556751321457E-2</v>
      </c>
      <c r="DR170" s="79">
        <v>1.4912485500720798E-2</v>
      </c>
      <c r="DS170" s="79">
        <f t="shared" ca="1" si="175"/>
        <v>7.9096611338167096E-3</v>
      </c>
      <c r="DT170" s="47"/>
      <c r="DU170" s="43">
        <f t="shared" si="176"/>
        <v>0.16062378404209002</v>
      </c>
      <c r="DV170" s="83">
        <f t="shared" ca="1" si="177"/>
        <v>3.2504999999999997</v>
      </c>
      <c r="DW170" s="83">
        <f t="shared" ca="1" si="178"/>
        <v>4.2913999999999994</v>
      </c>
      <c r="DX170" s="83">
        <f t="shared" ca="1" si="179"/>
        <v>-1.0408999999999997</v>
      </c>
      <c r="DY170" s="67"/>
      <c r="DZ170" s="67"/>
      <c r="EA170" s="85"/>
      <c r="EB170" s="44">
        <v>8995800</v>
      </c>
      <c r="EC170" s="44" cm="1">
        <f t="array" aca="1" ref="EC170" ca="1">_FV(EE170,"Volume")</f>
        <v>4228700</v>
      </c>
      <c r="EE170" s="2" t="e" vm="172">
        <v>#VALUE!</v>
      </c>
      <c r="EG170" s="10" cm="1">
        <f t="array" aca="1" ref="EG170" ca="1">_FV(EE170,"Ações em circulação",TRUE)</f>
        <v>403868800</v>
      </c>
      <c r="EH170" s="21">
        <f>VLOOKUP(BH170,Fundamentus!A:U,5,FALSE)</f>
        <v>0.42499999999999999</v>
      </c>
      <c r="EI170" s="2">
        <f t="shared" ca="1" si="180"/>
        <v>3829626503.5294118</v>
      </c>
      <c r="EJ170" s="20">
        <v>240981385.86352938</v>
      </c>
      <c r="EK170" s="20">
        <f t="shared" ca="1" si="181"/>
        <v>245862021.5265882</v>
      </c>
      <c r="EM170" s="40" t="str">
        <f>IF(VLOOKUP(BH170,Fundamentus!A:U,3,FALSE)&lt;15,"Bom",IF(VLOOKUP(BH170,Fundamentus!A:U,3,FALSE)&gt;15,"Ruim","n/a"))</f>
        <v>Bom</v>
      </c>
      <c r="EN170" s="36" t="str">
        <f>IF(VLOOKUP(BH170,Fundamentus!A:U,4,FALSE)&lt;1,"Baixo",IF(VLOOKUP(BH170,Fundamentus!A:U,4,FALSE)&lt;1.5,"Moderado",IF(VLOOKUP(BH170,Fundamentus!A:U,4,FALSE)&gt;1.5,"Alto","n/a")))</f>
        <v>Baixo</v>
      </c>
      <c r="EO170" s="20" t="str">
        <f>IF(VLOOKUP(BH170,Fundamentus!A:U,8,FALSE)&lt;0,"Risco elevado",IF(VLOOKUP(BH170,Fundamentus!A:U,8,FALSE)&lt;1,"Saudável",IF(VLOOKUP(BH170,Fundamentus!A:U,8,FALSE)&lt;3,"Estável",IF(VLOOKUP(BH170,Fundamentus!A:U,8,FALSE)&gt;3,"Alerta","n/a"))))</f>
        <v>Estável</v>
      </c>
      <c r="EP170" s="36" t="str">
        <f t="shared" si="182"/>
        <v>Ruim</v>
      </c>
      <c r="EQ170" s="20" t="str">
        <f>IF(VLOOKUP(BH170,Fundamentus!A:U,12,FALSE)&lt;2,"Subvalorizada",IF(VLOOKUP(BH170,Fundamentus!A:U,12,FALSE)&lt;6,"Muita barata",IF(VLOOKUP(BH170,Fundamentus!A:U,12,FALSE)&lt;6,"Barata",IF(VLOOKUP(BH170,Fundamentus!A:U,12,FALSE)&lt;8,"Atrativa",IF(VLOOKUP(BH170,Fundamentus!A:U,12,FALSE)&gt;8,"Supervalorizada","n/a")))))</f>
        <v>Muita barata</v>
      </c>
      <c r="ES170" s="20" t="str">
        <f>IF(VLOOKUP(BH170,Fundamentus!A:U,17,FALSE)&lt;0.1,"Fraco retorno",IF(VLOOKUP(BH170,Fundamentus!A:U,17,FALSE)&gt;0.1,"Bom retorno","n/a"))</f>
        <v>Fraco retorno</v>
      </c>
      <c r="ET170" s="20" t="str">
        <f>IF(VLOOKUP(BH170,Fundamentus!A:U,16,FALSE)&lt;0.1,"Ineficiente",IF(VLOOKUP(BH170,Fundamentus!A:U,16,FALSE)&gt;0.1,"Eficiente","n/a"))</f>
        <v>Eficiente</v>
      </c>
      <c r="EU170" s="41" t="str">
        <f>IF(VLOOKUP(BH170,Fundamentus!A:U,16,FALSE)&lt;0.1,"Oper. Ineficiente",IF(VLOOKUP(BH170,Fundamentus!A:U,16,FALSE)&gt;0.1,"Oper.Eficiente","n/a"))</f>
        <v>Oper.Eficiente</v>
      </c>
      <c r="EV170" s="42">
        <f>VLOOKUP(BH170,Fundamentus!A:U,14,FALSE)</f>
        <v>6.4199999999999993E-2</v>
      </c>
      <c r="EW170" s="20" t="str">
        <f>IF(VLOOKUP(BH170,Fundamentus!A:U,21,FALSE)&lt;0,"Negativo",IF(VLOOKUP(BH170,Fundamentus!A:U,21,FALSE)&lt;0.05,"Fraco",IF(VLOOKUP(BH170,Fundamentus!A:U,21,FALSE)&lt;0.1,"Bom",IF(VLOOKUP(BH170,Fundamentus!A:U,21,FALSE)&gt;0.1,"Muito bom","n/a"))))</f>
        <v>Muito bom</v>
      </c>
      <c r="EY170" s="37" t="str">
        <f>IF(VLOOKUP(BH170,Fundamentus!A:U,15,FALSE)&gt;1,"Bom",IF(VLOOKUP(BH170,Fundamentus!A:U,15,FALSE)&lt;1,"Ruim","n/a"))</f>
        <v>Bom</v>
      </c>
      <c r="EZ170" s="20" t="str">
        <f>IF(VLOOKUP(BH170,Fundamentus!A:U,20,FALSE)&lt;0.5,"Baixa",IF(VLOOKUP(BH170,Fundamentus!A:U,20,FALSE)&lt;1,"Moderada",IF(VLOOKUP(BH170,Fundamentus!A:U,20,FALSE)&lt;2,"Alerta",IF(VLOOKUP(BH170,Fundamentus!A:U,20,FALSE)&gt;2,"Alta","n/a"))))</f>
        <v>Alta</v>
      </c>
      <c r="FA170" s="10"/>
    </row>
    <row r="171" spans="1:157" s="2" customFormat="1" ht="11.25" hidden="1" x14ac:dyDescent="0.2">
      <c r="A171" s="4">
        <v>46.75</v>
      </c>
      <c r="B171" s="4">
        <v>46.78</v>
      </c>
      <c r="C171" s="4">
        <v>48.12</v>
      </c>
      <c r="D171" s="4">
        <v>43.38</v>
      </c>
      <c r="E171" s="4">
        <v>41.59</v>
      </c>
      <c r="F171" s="4">
        <v>39.92</v>
      </c>
      <c r="G171" s="4">
        <v>42.01</v>
      </c>
      <c r="H171" s="4">
        <v>41.33</v>
      </c>
      <c r="I171" s="4">
        <v>43.76</v>
      </c>
      <c r="J171" s="4">
        <v>46.55</v>
      </c>
      <c r="K171" s="4">
        <v>45.59</v>
      </c>
      <c r="L171" s="4">
        <v>45.29</v>
      </c>
      <c r="M171" s="4">
        <v>47.5</v>
      </c>
      <c r="N171" s="4">
        <v>46.01</v>
      </c>
      <c r="O171" s="4">
        <v>47.83</v>
      </c>
      <c r="P171" s="4">
        <v>49.29</v>
      </c>
      <c r="Q171" s="4">
        <v>47.05</v>
      </c>
      <c r="R171" s="4">
        <v>46.84</v>
      </c>
      <c r="S171" s="4">
        <v>42.46</v>
      </c>
      <c r="T171" s="4">
        <v>43.31</v>
      </c>
      <c r="U171" s="4">
        <v>44.2</v>
      </c>
      <c r="V171" s="4">
        <v>43.58</v>
      </c>
      <c r="W171" s="4">
        <v>44.81</v>
      </c>
      <c r="X171" s="4">
        <v>44.26</v>
      </c>
      <c r="Y171" s="4">
        <v>41.8</v>
      </c>
      <c r="Z171" s="4">
        <v>41.65</v>
      </c>
      <c r="AA171" s="4">
        <v>39.85</v>
      </c>
      <c r="AB171" s="4">
        <v>38.9</v>
      </c>
      <c r="AC171" s="4">
        <v>39.700000000000003</v>
      </c>
      <c r="AD171" s="4">
        <v>40.4</v>
      </c>
      <c r="AE171" s="4">
        <v>40.15</v>
      </c>
      <c r="AF171" s="4">
        <v>39.700000000000003</v>
      </c>
      <c r="AG171" s="4">
        <v>41.5</v>
      </c>
      <c r="AH171" s="4">
        <v>39.25</v>
      </c>
      <c r="AI171" s="4">
        <v>39.909999999999997</v>
      </c>
      <c r="AJ171" s="4">
        <v>40.619999999999997</v>
      </c>
      <c r="AK171" s="4">
        <v>42.63</v>
      </c>
      <c r="AL171" s="4">
        <v>42.71</v>
      </c>
      <c r="AM171" s="4">
        <v>41.15</v>
      </c>
      <c r="AN171" s="4">
        <v>40.99</v>
      </c>
      <c r="AO171" s="4">
        <v>39.619999999999997</v>
      </c>
      <c r="AP171" s="4">
        <v>39.43</v>
      </c>
      <c r="AQ171" s="4">
        <v>37.700000000000003</v>
      </c>
      <c r="AR171" s="4">
        <v>38.17</v>
      </c>
      <c r="AS171" s="4">
        <v>38.32</v>
      </c>
      <c r="AT171" s="4">
        <v>39.35</v>
      </c>
      <c r="AU171" s="4">
        <v>39.045000000000002</v>
      </c>
      <c r="AV171" s="4">
        <v>40.14</v>
      </c>
      <c r="AW171" s="4">
        <v>33.9</v>
      </c>
      <c r="AX171" s="4">
        <v>34.33</v>
      </c>
      <c r="AY171" s="12">
        <v>34.56</v>
      </c>
      <c r="AZ171" s="12">
        <v>34.880000000000003</v>
      </c>
      <c r="BA171" s="12">
        <v>33.71</v>
      </c>
      <c r="BB171" s="18">
        <v>36.659999999999997</v>
      </c>
      <c r="BC171" s="63">
        <v>39</v>
      </c>
      <c r="BD171" s="63">
        <v>38.799999999999997</v>
      </c>
      <c r="BE171" s="63">
        <v>38.950000000000003</v>
      </c>
      <c r="BF171" s="63">
        <v>42.51</v>
      </c>
      <c r="BG171" s="91" cm="1">
        <f t="array" aca="1" ref="BG171" ca="1">_FV(EE171,"Preço")</f>
        <v>43.98</v>
      </c>
      <c r="BH171" s="93" t="s">
        <v>168</v>
      </c>
      <c r="BI171" s="32" cm="1">
        <f t="array" aca="1" ref="BI171" ca="1">_FV(EE171,"Beta")</f>
        <v>1.2815000000000001</v>
      </c>
      <c r="BJ171" s="96" cm="1">
        <f t="array" aca="1" ref="BJ171" ca="1">_FV(EE171,"Variação (%)",TRUE)</f>
        <v>1.7583999999999999E-2</v>
      </c>
      <c r="BK171" s="49"/>
      <c r="BL171" s="49"/>
      <c r="BN171" s="32"/>
      <c r="BO171" s="20" cm="1">
        <f t="array" aca="1" ref="BO171" ca="1">_FV(EE171,"Baixo")</f>
        <v>43.34</v>
      </c>
      <c r="BP171" s="20" cm="1">
        <f t="array" aca="1" ref="BP171" ca="1">_FV(EE171,"Alto")</f>
        <v>45.65</v>
      </c>
      <c r="BQ171" s="32"/>
      <c r="BR171" s="74">
        <f ca="1">SQRT(22.5*(BG171/VLOOKUP(BH171,Fundamentus!A:U,3,FALSE))*(BG171/VLOOKUP(BH171,Fundamentus!A:U,4,FALSE)))</f>
        <v>98.506584334198877</v>
      </c>
      <c r="BT171" s="73">
        <f t="shared" ca="1" si="158"/>
        <v>3.4580098800282261E-2</v>
      </c>
      <c r="BU171" s="36">
        <f t="shared" si="159"/>
        <v>-0.1668449197860962</v>
      </c>
      <c r="BV171" s="8"/>
      <c r="BW171" s="72">
        <f t="shared" si="160"/>
        <v>33.71</v>
      </c>
      <c r="BX171" s="72">
        <f t="shared" si="161"/>
        <v>41.520603448275871</v>
      </c>
      <c r="BY171" s="72">
        <f t="shared" si="162"/>
        <v>49.29</v>
      </c>
      <c r="BZ171" s="17"/>
      <c r="CA171" s="17"/>
      <c r="CB171" s="43">
        <f t="shared" si="163"/>
        <v>39.241163203920685</v>
      </c>
      <c r="CC171" s="18">
        <f t="shared" si="164"/>
        <v>42.356560449858989</v>
      </c>
      <c r="CD171" s="43">
        <f t="shared" si="165"/>
        <v>45.471957695797293</v>
      </c>
      <c r="CE171" s="98">
        <f t="shared" ca="1" si="166"/>
        <v>0.52110194045320068</v>
      </c>
      <c r="CF171" s="17"/>
      <c r="CG171" s="20">
        <f t="shared" si="167"/>
        <v>18.803333333333335</v>
      </c>
      <c r="CH171" s="20">
        <f t="shared" si="168"/>
        <v>26.256666666666668</v>
      </c>
      <c r="CI171" s="20">
        <f t="shared" si="169"/>
        <v>34.383333333333333</v>
      </c>
      <c r="CJ171" s="49">
        <f t="shared" si="170"/>
        <v>41.836666666666666</v>
      </c>
      <c r="CK171" s="20">
        <f t="shared" si="171"/>
        <v>49.963333333333331</v>
      </c>
      <c r="CL171" s="20">
        <f t="shared" si="172"/>
        <v>57.416666666666664</v>
      </c>
      <c r="CM171" s="20">
        <f t="shared" si="173"/>
        <v>65.543333333333322</v>
      </c>
      <c r="CN171" s="2" cm="1">
        <f t="array" aca="1" ref="CN171" ca="1">MAX(_xlfn._xlws.FILTER(CG171:CM171,CG171:CM171&lt;BG171))</f>
        <v>41.836666666666666</v>
      </c>
      <c r="CO171" s="2" cm="1">
        <f t="array" aca="1" ref="CO171" ca="1">MIN(_xlfn._xlws.FILTER($CG171:$CM171,$CG171:$CM171&gt;BG171))</f>
        <v>49.963333333333331</v>
      </c>
      <c r="CP171" s="19">
        <f t="shared" ca="1" si="183"/>
        <v>0.19424747032108991</v>
      </c>
      <c r="CQ171" s="23">
        <f t="shared" ca="1" si="184"/>
        <v>-9.7123735160544955E-2</v>
      </c>
      <c r="CR171" s="23">
        <f t="shared" ca="1" si="185"/>
        <v>-6.4749156773696637E-2</v>
      </c>
      <c r="CS171" s="23">
        <f t="shared" ca="1" si="186"/>
        <v>-3.8849494064217983E-2</v>
      </c>
      <c r="CT171" s="23">
        <f t="shared" ca="1" si="187"/>
        <v>-2.1583052257898878E-2</v>
      </c>
      <c r="CU171" s="23">
        <f t="shared" ca="1" si="188"/>
        <v>-1.1426321783593525E-2</v>
      </c>
      <c r="CV171" s="23">
        <f t="shared" ca="1" si="189"/>
        <v>-5.8862869794269667E-3</v>
      </c>
      <c r="CW171" s="23">
        <f t="shared" ca="1" si="190"/>
        <v>-2.9884226203244603E-3</v>
      </c>
      <c r="CX171" s="24">
        <f t="shared" ca="1" si="191"/>
        <v>2.9884226203244603E-3</v>
      </c>
      <c r="CY171" s="24">
        <f t="shared" ca="1" si="192"/>
        <v>5.8862869794269667E-3</v>
      </c>
      <c r="CZ171" s="24">
        <f t="shared" ca="1" si="193"/>
        <v>1.1426321783593525E-2</v>
      </c>
      <c r="DA171" s="24">
        <f t="shared" ca="1" si="194"/>
        <v>2.1583052257898878E-2</v>
      </c>
      <c r="DB171" s="24">
        <f t="shared" ca="1" si="195"/>
        <v>3.8849494064217983E-2</v>
      </c>
      <c r="DC171" s="24">
        <f t="shared" ca="1" si="196"/>
        <v>6.4749156773696637E-2</v>
      </c>
      <c r="DD171" s="24">
        <f t="shared" ca="1" si="197"/>
        <v>9.7123735160544955E-2</v>
      </c>
      <c r="DF171" s="19" cm="1">
        <f t="array" aca="1" ref="DF171" ca="1">MAX(_xlfn._xlws.FILTER(CQ171:DD171,CQ171:DD171&lt;BJ171))</f>
        <v>1.1426321783593525E-2</v>
      </c>
      <c r="DG171" s="19" cm="1">
        <f t="array" aca="1" ref="DG171" ca="1">MIN(_xlfn._xlws.FILTER(CQ171:DD171,CQ171:DD171&gt;BJ171))</f>
        <v>2.1583052257898878E-2</v>
      </c>
      <c r="DH171" s="2" cm="1">
        <f t="array" aca="1" ref="DH171" ca="1">_FV(EE171,"Fechamento anterior",TRUE)</f>
        <v>43.22</v>
      </c>
      <c r="DI171" s="36">
        <f t="shared" ca="1" si="174"/>
        <v>0.60631025650855874</v>
      </c>
      <c r="DJ171" s="18">
        <f t="shared" ca="1" si="198"/>
        <v>43.713845627486911</v>
      </c>
      <c r="DK171" s="18">
        <f t="shared" ca="1" si="199"/>
        <v>44.152819518586391</v>
      </c>
      <c r="DL171" s="9"/>
      <c r="DM171" s="9"/>
      <c r="DN171" s="9"/>
      <c r="DO171" s="9"/>
      <c r="DP171" s="79">
        <v>4.6295032146400359E-3</v>
      </c>
      <c r="DQ171" s="79">
        <v>1.4428618352294777E-2</v>
      </c>
      <c r="DR171" s="79">
        <v>2.1642927528442171E-2</v>
      </c>
      <c r="DS171" s="79">
        <f t="shared" ca="1" si="175"/>
        <v>1.0156730474305353E-2</v>
      </c>
      <c r="DT171" s="47"/>
      <c r="DU171" s="43">
        <f t="shared" si="176"/>
        <v>1.5576986229691536</v>
      </c>
      <c r="DV171" s="83">
        <f t="shared" ca="1" si="177"/>
        <v>1.7076</v>
      </c>
      <c r="DW171" s="83">
        <f t="shared" ca="1" si="178"/>
        <v>-0.47689999999999988</v>
      </c>
      <c r="DX171" s="83">
        <f t="shared" ca="1" si="179"/>
        <v>2.1844999999999999</v>
      </c>
      <c r="DY171" s="67"/>
      <c r="DZ171" s="67"/>
      <c r="EA171" s="85"/>
      <c r="EB171" s="44">
        <v>10019000</v>
      </c>
      <c r="EC171" s="44" cm="1">
        <f t="array" aca="1" ref="EC171" ca="1">_FV(EE171,"Volume")</f>
        <v>17194200</v>
      </c>
      <c r="EE171" s="2" t="e" vm="173">
        <v>#VALUE!</v>
      </c>
      <c r="EG171" s="10" cm="1">
        <f t="array" aca="1" ref="EG171" ca="1">_FV(EE171,"Ações em circulação",TRUE)</f>
        <v>896346200</v>
      </c>
      <c r="EH171" s="21">
        <f>VLOOKUP(BH171,Fundamentus!A:U,5,FALSE)</f>
        <v>2.3580000000000001</v>
      </c>
      <c r="EI171" s="2">
        <f t="shared" ca="1" si="180"/>
        <v>16718111058.524172</v>
      </c>
      <c r="EJ171" s="20">
        <v>11733282375.78804</v>
      </c>
      <c r="EK171" s="20">
        <f t="shared" ca="1" si="181"/>
        <v>12139020439.5944</v>
      </c>
      <c r="EM171" s="40" t="str">
        <f>IF(VLOOKUP(BH171,Fundamentus!A:U,3,FALSE)&lt;15,"Bom",IF(VLOOKUP(BH171,Fundamentus!A:U,3,FALSE)&gt;15,"Ruim","n/a"))</f>
        <v>Bom</v>
      </c>
      <c r="EN171" s="36" t="str">
        <f>IF(VLOOKUP(BH171,Fundamentus!A:U,4,FALSE)&lt;1,"Baixo",IF(VLOOKUP(BH171,Fundamentus!A:U,4,FALSE)&lt;1.5,"Moderado",IF(VLOOKUP(BH171,Fundamentus!A:U,4,FALSE)&gt;1.5,"Alto","n/a")))</f>
        <v>Moderado</v>
      </c>
      <c r="EO171" s="20" t="str">
        <f>IF(VLOOKUP(BH171,Fundamentus!A:U,8,FALSE)&lt;0,"Risco elevado",IF(VLOOKUP(BH171,Fundamentus!A:U,8,FALSE)&lt;1,"Saudável",IF(VLOOKUP(BH171,Fundamentus!A:U,8,FALSE)&lt;3,"Estável",IF(VLOOKUP(BH171,Fundamentus!A:U,8,FALSE)&gt;3,"Alerta","n/a"))))</f>
        <v>Alerta</v>
      </c>
      <c r="EP171" s="36" t="str">
        <f t="shared" si="182"/>
        <v>Bom</v>
      </c>
      <c r="EQ171" s="20" t="str">
        <f>IF(VLOOKUP(BH171,Fundamentus!A:U,12,FALSE)&lt;2,"Subvalorizada",IF(VLOOKUP(BH171,Fundamentus!A:U,12,FALSE)&lt;6,"Muita barata",IF(VLOOKUP(BH171,Fundamentus!A:U,12,FALSE)&lt;6,"Barata",IF(VLOOKUP(BH171,Fundamentus!A:U,12,FALSE)&lt;8,"Atrativa",IF(VLOOKUP(BH171,Fundamentus!A:U,12,FALSE)&gt;8,"Supervalorizada","n/a")))))</f>
        <v>Muita barata</v>
      </c>
      <c r="ES171" s="20" t="str">
        <f>IF(VLOOKUP(BH171,Fundamentus!A:U,17,FALSE)&lt;0.1,"Fraco retorno",IF(VLOOKUP(BH171,Fundamentus!A:U,17,FALSE)&gt;0.1,"Bom retorno","n/a"))</f>
        <v>Bom retorno</v>
      </c>
      <c r="ET171" s="20" t="str">
        <f>IF(VLOOKUP(BH171,Fundamentus!A:U,16,FALSE)&lt;0.1,"Ineficiente",IF(VLOOKUP(BH171,Fundamentus!A:U,16,FALSE)&gt;0.1,"Eficiente","n/a"))</f>
        <v>Eficiente</v>
      </c>
      <c r="EU171" s="41" t="str">
        <f>IF(VLOOKUP(BH171,Fundamentus!A:U,16,FALSE)&lt;0.1,"Oper. Ineficiente",IF(VLOOKUP(BH171,Fundamentus!A:U,16,FALSE)&gt;0.1,"Oper.Eficiente","n/a"))</f>
        <v>Oper.Eficiente</v>
      </c>
      <c r="EV171" s="42">
        <f>VLOOKUP(BH171,Fundamentus!A:U,14,FALSE)</f>
        <v>0.72609999999999997</v>
      </c>
      <c r="EW171" s="20" t="str">
        <f>IF(VLOOKUP(BH171,Fundamentus!A:U,21,FALSE)&lt;0,"Negativo",IF(VLOOKUP(BH171,Fundamentus!A:U,21,FALSE)&lt;0.05,"Fraco",IF(VLOOKUP(BH171,Fundamentus!A:U,21,FALSE)&lt;0.1,"Bom",IF(VLOOKUP(BH171,Fundamentus!A:U,21,FALSE)&gt;0.1,"Muito bom","n/a"))))</f>
        <v>Muito bom</v>
      </c>
      <c r="EY171" s="37" t="str">
        <f>IF(VLOOKUP(BH171,Fundamentus!A:U,15,FALSE)&gt;1,"Bom",IF(VLOOKUP(BH171,Fundamentus!A:U,15,FALSE)&lt;1,"Ruim","n/a"))</f>
        <v>Bom</v>
      </c>
      <c r="EZ171" s="20" t="str">
        <f>IF(VLOOKUP(BH171,Fundamentus!A:U,20,FALSE)&lt;0.5,"Baixa",IF(VLOOKUP(BH171,Fundamentus!A:U,20,FALSE)&lt;1,"Moderada",IF(VLOOKUP(BH171,Fundamentus!A:U,20,FALSE)&lt;2,"Alerta",IF(VLOOKUP(BH171,Fundamentus!A:U,20,FALSE)&gt;2,"Alta","n/a"))))</f>
        <v>Moderada</v>
      </c>
      <c r="FA171" s="10"/>
    </row>
    <row r="172" spans="1:157" s="2" customFormat="1" ht="11.25" hidden="1" x14ac:dyDescent="0.2">
      <c r="A172" s="4">
        <v>12.2</v>
      </c>
      <c r="B172" s="4">
        <v>12.3</v>
      </c>
      <c r="C172" s="4">
        <v>11.94</v>
      </c>
      <c r="D172" s="4">
        <v>11.67</v>
      </c>
      <c r="E172" s="4">
        <v>11.37</v>
      </c>
      <c r="F172" s="4">
        <v>11.43</v>
      </c>
      <c r="G172" s="4">
        <v>11.18</v>
      </c>
      <c r="H172" s="4">
        <v>11.54</v>
      </c>
      <c r="I172" s="4">
        <v>11.32</v>
      </c>
      <c r="J172" s="4">
        <v>12.01</v>
      </c>
      <c r="K172" s="4">
        <v>12</v>
      </c>
      <c r="L172" s="4">
        <v>11.94</v>
      </c>
      <c r="M172" s="4">
        <v>11.54</v>
      </c>
      <c r="N172" s="4">
        <v>11.49</v>
      </c>
      <c r="O172" s="4">
        <v>11.77</v>
      </c>
      <c r="P172" s="4">
        <v>11.82</v>
      </c>
      <c r="Q172" s="4">
        <v>11.85</v>
      </c>
      <c r="R172" s="4">
        <v>11.26</v>
      </c>
      <c r="S172" s="4">
        <v>11.59</v>
      </c>
      <c r="T172" s="4">
        <v>11.8</v>
      </c>
      <c r="U172" s="4">
        <v>11.27</v>
      </c>
      <c r="V172" s="4">
        <v>11.29</v>
      </c>
      <c r="W172" s="4">
        <v>10.93</v>
      </c>
      <c r="X172" s="4">
        <v>10.24</v>
      </c>
      <c r="Y172" s="4">
        <v>10.5</v>
      </c>
      <c r="Z172" s="4">
        <v>10.35</v>
      </c>
      <c r="AA172" s="4">
        <v>10.96</v>
      </c>
      <c r="AB172" s="4">
        <v>11.34</v>
      </c>
      <c r="AC172" s="4">
        <v>10.32</v>
      </c>
      <c r="AD172" s="4">
        <v>10.71</v>
      </c>
      <c r="AE172" s="4">
        <v>10.8</v>
      </c>
      <c r="AF172" s="4">
        <v>10.72</v>
      </c>
      <c r="AG172" s="4">
        <v>10.78</v>
      </c>
      <c r="AH172" s="4">
        <v>10.71</v>
      </c>
      <c r="AI172" s="4">
        <v>10.75</v>
      </c>
      <c r="AJ172" s="4">
        <v>10.32</v>
      </c>
      <c r="AK172" s="4">
        <v>10.35</v>
      </c>
      <c r="AL172" s="4">
        <v>10.94</v>
      </c>
      <c r="AM172" s="4">
        <v>10.71</v>
      </c>
      <c r="AN172" s="4">
        <v>11.3</v>
      </c>
      <c r="AO172" s="4">
        <v>11.68</v>
      </c>
      <c r="AP172" s="4">
        <v>11.46</v>
      </c>
      <c r="AQ172" s="4">
        <v>11.67</v>
      </c>
      <c r="AR172" s="4">
        <v>10.61</v>
      </c>
      <c r="AS172" s="4">
        <v>10.89</v>
      </c>
      <c r="AT172" s="4">
        <v>10.93</v>
      </c>
      <c r="AU172" s="4">
        <v>11.154999999999999</v>
      </c>
      <c r="AV172" s="4">
        <v>10.55</v>
      </c>
      <c r="AW172" s="4">
        <v>10.77</v>
      </c>
      <c r="AX172" s="4">
        <v>10.83</v>
      </c>
      <c r="AY172" s="12">
        <v>10.53</v>
      </c>
      <c r="AZ172" s="12">
        <v>10.68</v>
      </c>
      <c r="BA172" s="12">
        <v>10.68</v>
      </c>
      <c r="BB172" s="18">
        <v>11.27</v>
      </c>
      <c r="BC172" s="63">
        <v>11.21</v>
      </c>
      <c r="BD172" s="63">
        <v>10.92</v>
      </c>
      <c r="BE172" s="63">
        <v>11</v>
      </c>
      <c r="BF172" s="63">
        <v>10.99</v>
      </c>
      <c r="BG172" s="91" cm="1">
        <f t="array" aca="1" ref="BG172" ca="1">_FV(EE172,"Preço")</f>
        <v>10.85</v>
      </c>
      <c r="BH172" s="93" t="s">
        <v>169</v>
      </c>
      <c r="BI172" s="32" cm="1">
        <f t="array" aca="1" ref="BI172" ca="1">_FV(EE172,"Beta")</f>
        <v>0.49840000000000001</v>
      </c>
      <c r="BJ172" s="96" cm="1">
        <f t="array" aca="1" ref="BJ172" ca="1">_FV(EE172,"Variação (%)",TRUE)</f>
        <v>-3.673E-3</v>
      </c>
      <c r="BK172" s="49"/>
      <c r="BL172" s="49"/>
      <c r="BN172" s="32"/>
      <c r="BO172" s="20" cm="1">
        <f t="array" aca="1" ref="BO172" ca="1">_FV(EE172,"Baixo")</f>
        <v>10.75</v>
      </c>
      <c r="BP172" s="20" cm="1">
        <f t="array" aca="1" ref="BP172" ca="1">_FV(EE172,"Alto")</f>
        <v>10.92</v>
      </c>
      <c r="BQ172" s="32"/>
      <c r="BR172" s="74">
        <f ca="1">SQRT(22.5*(BG172/VLOOKUP(BH172,Fundamentus!A:U,3,FALSE))*(BG172/VLOOKUP(BH172,Fundamentus!A:U,4,FALSE)))</f>
        <v>7.4887092105107911</v>
      </c>
      <c r="BT172" s="73">
        <f t="shared" ca="1" si="158"/>
        <v>-1.2738853503184764E-2</v>
      </c>
      <c r="BU172" s="36">
        <f t="shared" si="159"/>
        <v>-9.8360655737704861E-2</v>
      </c>
      <c r="BV172" s="8"/>
      <c r="BW172" s="72">
        <f t="shared" si="160"/>
        <v>10.24</v>
      </c>
      <c r="BX172" s="72">
        <f t="shared" si="161"/>
        <v>11.157499999999995</v>
      </c>
      <c r="BY172" s="72">
        <f t="shared" si="162"/>
        <v>12.3</v>
      </c>
      <c r="BZ172" s="17"/>
      <c r="CA172" s="17"/>
      <c r="CB172" s="43">
        <f t="shared" si="163"/>
        <v>10.666147996478704</v>
      </c>
      <c r="CC172" s="18">
        <f t="shared" si="164"/>
        <v>10.882942830365494</v>
      </c>
      <c r="CD172" s="43">
        <f t="shared" si="165"/>
        <v>11.099737664252283</v>
      </c>
      <c r="CE172" s="98">
        <f t="shared" ca="1" si="166"/>
        <v>-0.15195394546484806</v>
      </c>
      <c r="CF172" s="17"/>
      <c r="CG172" s="20">
        <f t="shared" si="167"/>
        <v>7.9933333333333341</v>
      </c>
      <c r="CH172" s="20">
        <f t="shared" si="168"/>
        <v>9.1166666666666671</v>
      </c>
      <c r="CI172" s="20">
        <f t="shared" si="169"/>
        <v>10.053333333333335</v>
      </c>
      <c r="CJ172" s="49">
        <f t="shared" si="170"/>
        <v>11.176666666666668</v>
      </c>
      <c r="CK172" s="20">
        <f t="shared" si="171"/>
        <v>12.113333333333335</v>
      </c>
      <c r="CL172" s="20">
        <f t="shared" si="172"/>
        <v>13.236666666666668</v>
      </c>
      <c r="CM172" s="20">
        <f t="shared" si="173"/>
        <v>14.173333333333336</v>
      </c>
      <c r="CN172" s="2" cm="1">
        <f t="array" aca="1" ref="CN172" ca="1">MAX(_xlfn._xlws.FILTER(CG172:CM172,CG172:CM172&lt;BG172))</f>
        <v>10.053333333333335</v>
      </c>
      <c r="CO172" s="2" cm="1">
        <f t="array" aca="1" ref="CO172" ca="1">MIN(_xlfn._xlws.FILTER($CG172:$CM172,$CG172:$CM172&gt;BG172))</f>
        <v>11.176666666666668</v>
      </c>
      <c r="CP172" s="19">
        <f t="shared" ca="1" si="183"/>
        <v>0.11173740053050385</v>
      </c>
      <c r="CQ172" s="23">
        <f t="shared" ca="1" si="184"/>
        <v>-5.5868700265251925E-2</v>
      </c>
      <c r="CR172" s="23">
        <f t="shared" ca="1" si="185"/>
        <v>-3.7245800176834619E-2</v>
      </c>
      <c r="CS172" s="23">
        <f t="shared" ca="1" si="186"/>
        <v>-2.234748010610077E-2</v>
      </c>
      <c r="CT172" s="23">
        <f t="shared" ca="1" si="187"/>
        <v>-1.2415266725611539E-2</v>
      </c>
      <c r="CU172" s="23">
        <f t="shared" ca="1" si="188"/>
        <v>-6.5727882665002268E-3</v>
      </c>
      <c r="CV172" s="23">
        <f t="shared" ca="1" si="189"/>
        <v>-3.3859818342576926E-3</v>
      </c>
      <c r="CW172" s="23">
        <f t="shared" ca="1" si="190"/>
        <v>-1.7190369312385207E-3</v>
      </c>
      <c r="CX172" s="24">
        <f t="shared" ca="1" si="191"/>
        <v>1.7190369312385207E-3</v>
      </c>
      <c r="CY172" s="24">
        <f t="shared" ca="1" si="192"/>
        <v>3.3859818342576926E-3</v>
      </c>
      <c r="CZ172" s="24">
        <f t="shared" ca="1" si="193"/>
        <v>6.5727882665002268E-3</v>
      </c>
      <c r="DA172" s="24">
        <f t="shared" ca="1" si="194"/>
        <v>1.2415266725611539E-2</v>
      </c>
      <c r="DB172" s="24">
        <f t="shared" ca="1" si="195"/>
        <v>2.234748010610077E-2</v>
      </c>
      <c r="DC172" s="24">
        <f t="shared" ca="1" si="196"/>
        <v>3.7245800176834619E-2</v>
      </c>
      <c r="DD172" s="24">
        <f t="shared" ca="1" si="197"/>
        <v>5.5868700265251925E-2</v>
      </c>
      <c r="DF172" s="19" cm="1">
        <f t="array" aca="1" ref="DF172" ca="1">MAX(_xlfn._xlws.FILTER(CQ172:DD172,CQ172:DD172&lt;BJ172))</f>
        <v>-6.5727882665002268E-3</v>
      </c>
      <c r="DG172" s="19" cm="1">
        <f t="array" aca="1" ref="DG172" ca="1">MIN(_xlfn._xlws.FILTER(CQ172:DD172,CQ172:DD172&gt;BJ172))</f>
        <v>-3.3859818342576926E-3</v>
      </c>
      <c r="DH172" s="2" cm="1">
        <f t="array" aca="1" ref="DH172" ca="1">_FV(EE172,"Fechamento anterior",TRUE)</f>
        <v>10.89</v>
      </c>
      <c r="DI172" s="36">
        <f t="shared" ca="1" si="174"/>
        <v>0.90990580883013039</v>
      </c>
      <c r="DJ172" s="18">
        <f t="shared" ca="1" si="198"/>
        <v>10.818422335777813</v>
      </c>
      <c r="DK172" s="18">
        <f t="shared" ca="1" si="199"/>
        <v>10.853126657824934</v>
      </c>
      <c r="DL172" s="9"/>
      <c r="DM172" s="9"/>
      <c r="DN172" s="9"/>
      <c r="DO172" s="9"/>
      <c r="DP172" s="79">
        <v>3.466580002166627E-3</v>
      </c>
      <c r="DQ172" s="79">
        <v>3.466580002166627E-3</v>
      </c>
      <c r="DR172" s="79">
        <v>1.8908618193636145E-3</v>
      </c>
      <c r="DS172" s="79">
        <f t="shared" ca="1" si="175"/>
        <v>3.1868064322425342E-3</v>
      </c>
      <c r="DT172" s="47"/>
      <c r="DU172" s="43">
        <f t="shared" si="176"/>
        <v>0.10839741694339435</v>
      </c>
      <c r="DV172" s="83">
        <f t="shared" ca="1" si="177"/>
        <v>0.92449999999999999</v>
      </c>
      <c r="DW172" s="83">
        <f t="shared" ca="1" si="178"/>
        <v>0.86570000000000003</v>
      </c>
      <c r="DX172" s="83">
        <f t="shared" ca="1" si="179"/>
        <v>5.8799999999999963E-2</v>
      </c>
      <c r="DY172" s="67"/>
      <c r="DZ172" s="67"/>
      <c r="EA172" s="85"/>
      <c r="EB172" s="44">
        <v>1484700</v>
      </c>
      <c r="EC172" s="44" cm="1">
        <f t="array" aca="1" ref="EC172" ca="1">_FV(EE172,"Volume")</f>
        <v>1453200</v>
      </c>
      <c r="EE172" s="2" t="e" vm="174">
        <v>#VALUE!</v>
      </c>
      <c r="EG172" s="10" cm="1">
        <f t="array" aca="1" ref="EG172" ca="1">_FV(EE172,"Ações em circulação",TRUE)</f>
        <v>552495700</v>
      </c>
      <c r="EH172" s="21">
        <f>VLOOKUP(BH172,Fundamentus!A:U,5,FALSE)</f>
        <v>2.601</v>
      </c>
      <c r="EI172" s="2">
        <f t="shared" ca="1" si="180"/>
        <v>2304720624.7597079</v>
      </c>
      <c r="EJ172" s="20">
        <v>566806634.37154937</v>
      </c>
      <c r="EK172" s="20">
        <f t="shared" ca="1" si="181"/>
        <v>559586167.69165707</v>
      </c>
      <c r="EM172" s="40" t="str">
        <f>IF(VLOOKUP(BH172,Fundamentus!A:U,3,FALSE)&lt;15,"Bom",IF(VLOOKUP(BH172,Fundamentus!A:U,3,FALSE)&gt;15,"Ruim","n/a"))</f>
        <v>Bom</v>
      </c>
      <c r="EN172" s="36" t="str">
        <f>IF(VLOOKUP(BH172,Fundamentus!A:U,4,FALSE)&lt;1,"Baixo",IF(VLOOKUP(BH172,Fundamentus!A:U,4,FALSE)&lt;1.5,"Moderado",IF(VLOOKUP(BH172,Fundamentus!A:U,4,FALSE)&gt;1.5,"Alto","n/a")))</f>
        <v>Alto</v>
      </c>
      <c r="EO172" s="20" t="str">
        <f>IF(VLOOKUP(BH172,Fundamentus!A:U,8,FALSE)&lt;0,"Risco elevado",IF(VLOOKUP(BH172,Fundamentus!A:U,8,FALSE)&lt;1,"Saudável",IF(VLOOKUP(BH172,Fundamentus!A:U,8,FALSE)&lt;3,"Estável",IF(VLOOKUP(BH172,Fundamentus!A:U,8,FALSE)&gt;3,"Alerta","n/a"))))</f>
        <v>Risco elevado</v>
      </c>
      <c r="EP172" s="36" t="str">
        <f t="shared" si="182"/>
        <v>Bom</v>
      </c>
      <c r="EQ172" s="20" t="str">
        <f>IF(VLOOKUP(BH172,Fundamentus!A:U,12,FALSE)&lt;2,"Subvalorizada",IF(VLOOKUP(BH172,Fundamentus!A:U,12,FALSE)&lt;6,"Muita barata",IF(VLOOKUP(BH172,Fundamentus!A:U,12,FALSE)&lt;6,"Barata",IF(VLOOKUP(BH172,Fundamentus!A:U,12,FALSE)&lt;8,"Atrativa",IF(VLOOKUP(BH172,Fundamentus!A:U,12,FALSE)&gt;8,"Supervalorizada","n/a")))))</f>
        <v>Atrativa</v>
      </c>
      <c r="ES172" s="20" t="str">
        <f>IF(VLOOKUP(BH172,Fundamentus!A:U,17,FALSE)&lt;0.1,"Fraco retorno",IF(VLOOKUP(BH172,Fundamentus!A:U,17,FALSE)&gt;0.1,"Bom retorno","n/a"))</f>
        <v>Bom retorno</v>
      </c>
      <c r="ET172" s="20" t="str">
        <f>IF(VLOOKUP(BH172,Fundamentus!A:U,16,FALSE)&lt;0.1,"Ineficiente",IF(VLOOKUP(BH172,Fundamentus!A:U,16,FALSE)&gt;0.1,"Eficiente","n/a"))</f>
        <v>Eficiente</v>
      </c>
      <c r="EU172" s="41" t="str">
        <f>IF(VLOOKUP(BH172,Fundamentus!A:U,16,FALSE)&lt;0.1,"Oper. Ineficiente",IF(VLOOKUP(BH172,Fundamentus!A:U,16,FALSE)&gt;0.1,"Oper.Eficiente","n/a"))</f>
        <v>Oper.Eficiente</v>
      </c>
      <c r="EV172" s="42">
        <f>VLOOKUP(BH172,Fundamentus!A:U,14,FALSE)</f>
        <v>0.24279999999999999</v>
      </c>
      <c r="EW172" s="20" t="str">
        <f>IF(VLOOKUP(BH172,Fundamentus!A:U,21,FALSE)&lt;0,"Negativo",IF(VLOOKUP(BH172,Fundamentus!A:U,21,FALSE)&lt;0.05,"Fraco",IF(VLOOKUP(BH172,Fundamentus!A:U,21,FALSE)&lt;0.1,"Bom",IF(VLOOKUP(BH172,Fundamentus!A:U,21,FALSE)&gt;0.1,"Muito bom","n/a"))))</f>
        <v>Bom</v>
      </c>
      <c r="EY172" s="37" t="str">
        <f>IF(VLOOKUP(BH172,Fundamentus!A:U,15,FALSE)&gt;1,"Bom",IF(VLOOKUP(BH172,Fundamentus!A:U,15,FALSE)&lt;1,"Ruim","n/a"))</f>
        <v>Ruim</v>
      </c>
      <c r="EZ172" s="20" t="str">
        <f>IF(VLOOKUP(BH172,Fundamentus!A:U,20,FALSE)&lt;0.5,"Baixa",IF(VLOOKUP(BH172,Fundamentus!A:U,20,FALSE)&lt;1,"Moderada",IF(VLOOKUP(BH172,Fundamentus!A:U,20,FALSE)&lt;2,"Alerta",IF(VLOOKUP(BH172,Fundamentus!A:U,20,FALSE)&gt;2,"Alta","n/a"))))</f>
        <v>Baixa</v>
      </c>
      <c r="FA172" s="10"/>
    </row>
    <row r="173" spans="1:157" s="2" customFormat="1" ht="11.25" hidden="1" x14ac:dyDescent="0.2">
      <c r="A173" s="4">
        <v>21.55</v>
      </c>
      <c r="B173" s="4">
        <v>21.35</v>
      </c>
      <c r="C173" s="4">
        <v>20.93</v>
      </c>
      <c r="D173" s="4">
        <v>19.75</v>
      </c>
      <c r="E173" s="4">
        <v>20.75</v>
      </c>
      <c r="F173" s="4">
        <v>19.059999999999999</v>
      </c>
      <c r="G173" s="4">
        <v>18.07</v>
      </c>
      <c r="H173" s="4">
        <v>18.25</v>
      </c>
      <c r="I173" s="4">
        <v>18.559999999999999</v>
      </c>
      <c r="J173" s="4">
        <v>20.84</v>
      </c>
      <c r="K173" s="4">
        <v>21</v>
      </c>
      <c r="L173" s="4">
        <v>21</v>
      </c>
      <c r="M173" s="4">
        <v>21.04</v>
      </c>
      <c r="N173" s="4">
        <v>19.87</v>
      </c>
      <c r="O173" s="4">
        <v>21.31</v>
      </c>
      <c r="P173" s="4">
        <v>21.64</v>
      </c>
      <c r="Q173" s="4">
        <v>21.51</v>
      </c>
      <c r="R173" s="4">
        <v>20.399999999999999</v>
      </c>
      <c r="S173" s="4">
        <v>19.28</v>
      </c>
      <c r="T173" s="4">
        <v>19.04</v>
      </c>
      <c r="U173" s="4">
        <v>18.34</v>
      </c>
      <c r="V173" s="4">
        <v>17.850000000000001</v>
      </c>
      <c r="W173" s="4">
        <v>18.37</v>
      </c>
      <c r="X173" s="4">
        <v>18.190000000000001</v>
      </c>
      <c r="Y173" s="4">
        <v>17.02</v>
      </c>
      <c r="Z173" s="4">
        <v>16.96</v>
      </c>
      <c r="AA173" s="4">
        <v>16.5</v>
      </c>
      <c r="AB173" s="4">
        <v>17.73</v>
      </c>
      <c r="AC173" s="4">
        <v>16.66</v>
      </c>
      <c r="AD173" s="4">
        <v>16.91</v>
      </c>
      <c r="AE173" s="4">
        <v>16.54</v>
      </c>
      <c r="AF173" s="4">
        <v>15.88</v>
      </c>
      <c r="AG173" s="4">
        <v>16.059999999999999</v>
      </c>
      <c r="AH173" s="4">
        <v>15.27</v>
      </c>
      <c r="AI173" s="4">
        <v>15.78</v>
      </c>
      <c r="AJ173" s="4">
        <v>16.43</v>
      </c>
      <c r="AK173" s="4">
        <v>16.36</v>
      </c>
      <c r="AL173" s="4">
        <v>16.690000000000001</v>
      </c>
      <c r="AM173" s="4">
        <v>15.68</v>
      </c>
      <c r="AN173" s="4">
        <v>15.87</v>
      </c>
      <c r="AO173" s="4">
        <v>15.38</v>
      </c>
      <c r="AP173" s="4">
        <v>15.58</v>
      </c>
      <c r="AQ173" s="4">
        <v>16.14</v>
      </c>
      <c r="AR173" s="4">
        <v>15.89</v>
      </c>
      <c r="AS173" s="4">
        <v>15.84</v>
      </c>
      <c r="AT173" s="4">
        <v>16.350000000000001</v>
      </c>
      <c r="AU173" s="4">
        <v>16.324999999999999</v>
      </c>
      <c r="AV173" s="4">
        <v>16.760000000000002</v>
      </c>
      <c r="AW173" s="4">
        <v>14.35</v>
      </c>
      <c r="AX173" s="4">
        <v>13.52</v>
      </c>
      <c r="AY173" s="12">
        <v>14.04</v>
      </c>
      <c r="AZ173" s="12">
        <v>13.56</v>
      </c>
      <c r="BA173" s="12">
        <v>12.84</v>
      </c>
      <c r="BB173" s="18">
        <v>13.47</v>
      </c>
      <c r="BC173" s="63">
        <v>15.08</v>
      </c>
      <c r="BD173" s="63">
        <v>13.97</v>
      </c>
      <c r="BE173" s="63">
        <v>14.47</v>
      </c>
      <c r="BF173" s="63">
        <v>14.5</v>
      </c>
      <c r="BG173" s="91" cm="1">
        <f t="array" aca="1" ref="BG173" ca="1">_FV(EE173,"Preço")</f>
        <v>15.56</v>
      </c>
      <c r="BH173" s="93" t="s">
        <v>170</v>
      </c>
      <c r="BI173" s="32" cm="1">
        <f t="array" aca="1" ref="BI173" ca="1">_FV(EE173,"Beta")</f>
        <v>0.83850000000000002</v>
      </c>
      <c r="BJ173" s="96" cm="1">
        <f t="array" aca="1" ref="BJ173" ca="1">_FV(EE173,"Variação (%)",TRUE)</f>
        <v>2.7063E-2</v>
      </c>
      <c r="BK173" s="49"/>
      <c r="BL173" s="49"/>
      <c r="BN173" s="32"/>
      <c r="BO173" s="20" cm="1">
        <f t="array" aca="1" ref="BO173" ca="1">_FV(EE173,"Baixo")</f>
        <v>15.36</v>
      </c>
      <c r="BP173" s="20" cm="1">
        <f t="array" aca="1" ref="BP173" ca="1">_FV(EE173,"Alto")</f>
        <v>15.85</v>
      </c>
      <c r="BQ173" s="32"/>
      <c r="BR173" s="74">
        <f ca="1">SQRT(22.5*(BG173/VLOOKUP(BH173,Fundamentus!A:U,3,FALSE))*(BG173/VLOOKUP(BH173,Fundamentus!A:U,4,FALSE)))</f>
        <v>27.414275953230472</v>
      </c>
      <c r="BT173" s="73">
        <f t="shared" ca="1" si="158"/>
        <v>7.3103448275862098E-2</v>
      </c>
      <c r="BU173" s="36">
        <f t="shared" si="159"/>
        <v>-0.32853828306264499</v>
      </c>
      <c r="BV173" s="8"/>
      <c r="BW173" s="72">
        <f t="shared" si="160"/>
        <v>12.84</v>
      </c>
      <c r="BX173" s="72">
        <f t="shared" si="161"/>
        <v>17.385431034482757</v>
      </c>
      <c r="BY173" s="72">
        <f t="shared" si="162"/>
        <v>21.64</v>
      </c>
      <c r="BZ173" s="17"/>
      <c r="CA173" s="17"/>
      <c r="CB173" s="43">
        <f t="shared" si="163"/>
        <v>13.391754155961067</v>
      </c>
      <c r="CC173" s="18">
        <f t="shared" si="164"/>
        <v>14.177947516401105</v>
      </c>
      <c r="CD173" s="43">
        <f t="shared" si="165"/>
        <v>14.964140876841142</v>
      </c>
      <c r="CE173" s="98">
        <f t="shared" ca="1" si="166"/>
        <v>1.757904038804591</v>
      </c>
      <c r="CF173" s="17"/>
      <c r="CG173" s="20">
        <f t="shared" si="167"/>
        <v>2.2133333333333347</v>
      </c>
      <c r="CH173" s="20">
        <f t="shared" si="168"/>
        <v>7.5266666666666673</v>
      </c>
      <c r="CI173" s="20">
        <f t="shared" si="169"/>
        <v>11.013333333333335</v>
      </c>
      <c r="CJ173" s="49">
        <f t="shared" si="170"/>
        <v>16.326666666666668</v>
      </c>
      <c r="CK173" s="20">
        <f t="shared" si="171"/>
        <v>19.813333333333336</v>
      </c>
      <c r="CL173" s="20">
        <f t="shared" si="172"/>
        <v>25.126666666666669</v>
      </c>
      <c r="CM173" s="20">
        <f t="shared" si="173"/>
        <v>28.613333333333337</v>
      </c>
      <c r="CN173" s="2" cm="1">
        <f t="array" aca="1" ref="CN173" ca="1">MAX(_xlfn._xlws.FILTER(CG173:CM173,CG173:CM173&lt;BG173))</f>
        <v>11.013333333333335</v>
      </c>
      <c r="CO173" s="2" cm="1">
        <f t="array" aca="1" ref="CO173" ca="1">MIN(_xlfn._xlws.FILTER($CG173:$CM173,$CG173:$CM173&gt;BG173))</f>
        <v>16.326666666666668</v>
      </c>
      <c r="CP173" s="19">
        <f t="shared" ca="1" si="183"/>
        <v>0.48244552058111356</v>
      </c>
      <c r="CQ173" s="23">
        <f t="shared" ca="1" si="184"/>
        <v>-0.24122276029055678</v>
      </c>
      <c r="CR173" s="23">
        <f t="shared" ca="1" si="185"/>
        <v>-0.16081517352703786</v>
      </c>
      <c r="CS173" s="23">
        <f t="shared" ca="1" si="186"/>
        <v>-9.6489104116222718E-2</v>
      </c>
      <c r="CT173" s="23">
        <f t="shared" ca="1" si="187"/>
        <v>-5.3605057842345954E-2</v>
      </c>
      <c r="CU173" s="23">
        <f t="shared" ca="1" si="188"/>
        <v>-2.8379148269477267E-2</v>
      </c>
      <c r="CV173" s="23">
        <f t="shared" ca="1" si="189"/>
        <v>-1.4619561229730713E-2</v>
      </c>
      <c r="CW173" s="23">
        <f t="shared" ca="1" si="190"/>
        <v>-7.4222387781709776E-3</v>
      </c>
      <c r="CX173" s="24">
        <f t="shared" ca="1" si="191"/>
        <v>7.4222387781709776E-3</v>
      </c>
      <c r="CY173" s="24">
        <f t="shared" ca="1" si="192"/>
        <v>1.4619561229730713E-2</v>
      </c>
      <c r="CZ173" s="24">
        <f t="shared" ca="1" si="193"/>
        <v>2.8379148269477267E-2</v>
      </c>
      <c r="DA173" s="24">
        <f t="shared" ca="1" si="194"/>
        <v>5.3605057842345954E-2</v>
      </c>
      <c r="DB173" s="24">
        <f t="shared" ca="1" si="195"/>
        <v>9.6489104116222718E-2</v>
      </c>
      <c r="DC173" s="24">
        <f t="shared" ca="1" si="196"/>
        <v>0.16081517352703786</v>
      </c>
      <c r="DD173" s="24">
        <f t="shared" ca="1" si="197"/>
        <v>0.24122276029055678</v>
      </c>
      <c r="DF173" s="19" cm="1">
        <f t="array" aca="1" ref="DF173" ca="1">MAX(_xlfn._xlws.FILTER(CQ173:DD173,CQ173:DD173&lt;BJ173))</f>
        <v>1.4619561229730713E-2</v>
      </c>
      <c r="DG173" s="19" cm="1">
        <f t="array" aca="1" ref="DG173" ca="1">MIN(_xlfn._xlws.FILTER(CQ173:DD173,CQ173:DD173&gt;BJ173))</f>
        <v>2.8379148269477267E-2</v>
      </c>
      <c r="DH173" s="2" cm="1">
        <f t="array" aca="1" ref="DH173" ca="1">_FV(EE173,"Fechamento anterior",TRUE)</f>
        <v>15.15</v>
      </c>
      <c r="DI173" s="36">
        <f t="shared" ca="1" si="174"/>
        <v>0.90432547175671218</v>
      </c>
      <c r="DJ173" s="18">
        <f t="shared" ca="1" si="198"/>
        <v>15.37148635263042</v>
      </c>
      <c r="DK173" s="18">
        <f t="shared" ca="1" si="199"/>
        <v>15.579944096282581</v>
      </c>
      <c r="DL173" s="9"/>
      <c r="DM173" s="9"/>
      <c r="DN173" s="9"/>
      <c r="DO173" s="9"/>
      <c r="DP173" s="79">
        <v>1.8183234248033441E-2</v>
      </c>
      <c r="DQ173" s="79">
        <v>8.8161135748040936E-3</v>
      </c>
      <c r="DR173" s="79">
        <v>1.8183234248033441E-2</v>
      </c>
      <c r="DS173" s="79">
        <f t="shared" ca="1" si="175"/>
        <v>1.3759587039746553E-2</v>
      </c>
      <c r="DT173" s="47"/>
      <c r="DU173" s="43">
        <f t="shared" si="176"/>
        <v>0.39309668022001898</v>
      </c>
      <c r="DV173" s="83">
        <f t="shared" ca="1" si="177"/>
        <v>1.2645999999999999</v>
      </c>
      <c r="DW173" s="83">
        <f t="shared" ca="1" si="178"/>
        <v>-1.8678000000000001</v>
      </c>
      <c r="DX173" s="83">
        <f t="shared" ca="1" si="179"/>
        <v>3.1324000000000001</v>
      </c>
      <c r="DY173" s="67"/>
      <c r="DZ173" s="67"/>
      <c r="EA173" s="85"/>
      <c r="EB173" s="44">
        <v>3362700</v>
      </c>
      <c r="EC173" s="44" cm="1">
        <f t="array" aca="1" ref="EC173" ca="1">_FV(EE173,"Volume")</f>
        <v>4501000</v>
      </c>
      <c r="EE173" s="2" t="e" vm="175">
        <v>#VALUE!</v>
      </c>
      <c r="EG173" s="10" cm="1">
        <f t="array" aca="1" ref="EG173" ca="1">_FV(EE173,"Ações em circulação",TRUE)</f>
        <v>293472100</v>
      </c>
      <c r="EH173" s="21">
        <f>VLOOKUP(BH173,Fundamentus!A:U,5,FALSE)</f>
        <v>1.252</v>
      </c>
      <c r="EI173" s="2">
        <f t="shared" ca="1" si="180"/>
        <v>3647305012.7795529</v>
      </c>
      <c r="EJ173" s="20">
        <v>558089235.53514385</v>
      </c>
      <c r="EK173" s="20">
        <f t="shared" ca="1" si="181"/>
        <v>598887483.09840262</v>
      </c>
      <c r="EM173" s="40" t="str">
        <f>IF(VLOOKUP(BH173,Fundamentus!A:U,3,FALSE)&lt;15,"Bom",IF(VLOOKUP(BH173,Fundamentus!A:U,3,FALSE)&gt;15,"Ruim","n/a"))</f>
        <v>Bom</v>
      </c>
      <c r="EN173" s="36" t="str">
        <f>IF(VLOOKUP(BH173,Fundamentus!A:U,4,FALSE)&lt;1,"Baixo",IF(VLOOKUP(BH173,Fundamentus!A:U,4,FALSE)&lt;1.5,"Moderado",IF(VLOOKUP(BH173,Fundamentus!A:U,4,FALSE)&gt;1.5,"Alto","n/a")))</f>
        <v>Baixo</v>
      </c>
      <c r="EO173" s="20" t="str">
        <f>IF(VLOOKUP(BH173,Fundamentus!A:U,8,FALSE)&lt;0,"Risco elevado",IF(VLOOKUP(BH173,Fundamentus!A:U,8,FALSE)&lt;1,"Saudável",IF(VLOOKUP(BH173,Fundamentus!A:U,8,FALSE)&lt;3,"Estável",IF(VLOOKUP(BH173,Fundamentus!A:U,8,FALSE)&gt;3,"Alerta","n/a"))))</f>
        <v>Alerta</v>
      </c>
      <c r="EP173" s="36" t="str">
        <f t="shared" si="182"/>
        <v>Bom</v>
      </c>
      <c r="EQ173" s="20" t="str">
        <f>IF(VLOOKUP(BH173,Fundamentus!A:U,12,FALSE)&lt;2,"Subvalorizada",IF(VLOOKUP(BH173,Fundamentus!A:U,12,FALSE)&lt;6,"Muita barata",IF(VLOOKUP(BH173,Fundamentus!A:U,12,FALSE)&lt;6,"Barata",IF(VLOOKUP(BH173,Fundamentus!A:U,12,FALSE)&lt;8,"Atrativa",IF(VLOOKUP(BH173,Fundamentus!A:U,12,FALSE)&gt;8,"Supervalorizada","n/a")))))</f>
        <v>Muita barata</v>
      </c>
      <c r="ES173" s="20" t="str">
        <f>IF(VLOOKUP(BH173,Fundamentus!A:U,17,FALSE)&lt;0.1,"Fraco retorno",IF(VLOOKUP(BH173,Fundamentus!A:U,17,FALSE)&gt;0.1,"Bom retorno","n/a"))</f>
        <v>Bom retorno</v>
      </c>
      <c r="ET173" s="20" t="str">
        <f>IF(VLOOKUP(BH173,Fundamentus!A:U,16,FALSE)&lt;0.1,"Ineficiente",IF(VLOOKUP(BH173,Fundamentus!A:U,16,FALSE)&gt;0.1,"Eficiente","n/a"))</f>
        <v>Eficiente</v>
      </c>
      <c r="EU173" s="41" t="str">
        <f>IF(VLOOKUP(BH173,Fundamentus!A:U,16,FALSE)&lt;0.1,"Oper. Ineficiente",IF(VLOOKUP(BH173,Fundamentus!A:U,16,FALSE)&gt;0.1,"Oper.Eficiente","n/a"))</f>
        <v>Oper.Eficiente</v>
      </c>
      <c r="EV173" s="42">
        <f>VLOOKUP(BH173,Fundamentus!A:U,14,FALSE)</f>
        <v>0.16420000000000001</v>
      </c>
      <c r="EW173" s="20" t="str">
        <f>IF(VLOOKUP(BH173,Fundamentus!A:U,21,FALSE)&lt;0,"Negativo",IF(VLOOKUP(BH173,Fundamentus!A:U,21,FALSE)&lt;0.05,"Fraco",IF(VLOOKUP(BH173,Fundamentus!A:U,21,FALSE)&lt;0.1,"Bom",IF(VLOOKUP(BH173,Fundamentus!A:U,21,FALSE)&gt;0.1,"Muito bom","n/a"))))</f>
        <v>Muito bom</v>
      </c>
      <c r="EY173" s="37" t="str">
        <f>IF(VLOOKUP(BH173,Fundamentus!A:U,15,FALSE)&gt;1,"Bom",IF(VLOOKUP(BH173,Fundamentus!A:U,15,FALSE)&lt;1,"Ruim","n/a"))</f>
        <v>Bom</v>
      </c>
      <c r="EZ173" s="20" t="str">
        <f>IF(VLOOKUP(BH173,Fundamentus!A:U,20,FALSE)&lt;0.5,"Baixa",IF(VLOOKUP(BH173,Fundamentus!A:U,20,FALSE)&lt;1,"Moderada",IF(VLOOKUP(BH173,Fundamentus!A:U,20,FALSE)&lt;2,"Alerta",IF(VLOOKUP(BH173,Fundamentus!A:U,20,FALSE)&gt;2,"Alta","n/a"))))</f>
        <v>Baixa</v>
      </c>
      <c r="FA173" s="10"/>
    </row>
    <row r="174" spans="1:157" s="2" customFormat="1" ht="11.25" hidden="1" x14ac:dyDescent="0.2">
      <c r="A174" s="4">
        <v>13.03</v>
      </c>
      <c r="B174" s="4">
        <v>12.34</v>
      </c>
      <c r="C174" s="4">
        <v>12.26</v>
      </c>
      <c r="D174" s="4">
        <v>11.73</v>
      </c>
      <c r="E174" s="4">
        <v>11.03</v>
      </c>
      <c r="F174" s="4">
        <v>11</v>
      </c>
      <c r="G174" s="4">
        <v>10.38</v>
      </c>
      <c r="H174" s="4">
        <v>10.65</v>
      </c>
      <c r="I174" s="4">
        <v>11.08</v>
      </c>
      <c r="J174" s="4">
        <v>13.08</v>
      </c>
      <c r="K174" s="4">
        <v>13.61</v>
      </c>
      <c r="L174" s="4">
        <v>13.11</v>
      </c>
      <c r="M174" s="4">
        <v>13.81</v>
      </c>
      <c r="N174" s="4">
        <v>13.93</v>
      </c>
      <c r="O174" s="4">
        <v>14.93</v>
      </c>
      <c r="P174" s="4">
        <v>14.51</v>
      </c>
      <c r="Q174" s="4">
        <v>14.84</v>
      </c>
      <c r="R174" s="4">
        <v>14.25</v>
      </c>
      <c r="S174" s="4">
        <v>15.08</v>
      </c>
      <c r="T174" s="4">
        <v>14.81</v>
      </c>
      <c r="U174" s="4">
        <v>14.35</v>
      </c>
      <c r="V174" s="4">
        <v>14.2</v>
      </c>
      <c r="W174" s="4">
        <v>15.78</v>
      </c>
      <c r="X174" s="4">
        <v>15.37</v>
      </c>
      <c r="Y174" s="4">
        <v>14.93</v>
      </c>
      <c r="Z174" s="4">
        <v>15.5</v>
      </c>
      <c r="AA174" s="4">
        <v>15.33</v>
      </c>
      <c r="AB174" s="4">
        <v>16.25</v>
      </c>
      <c r="AC174" s="4">
        <v>14.66</v>
      </c>
      <c r="AD174" s="4">
        <v>14.7</v>
      </c>
      <c r="AE174" s="4">
        <v>12.31</v>
      </c>
      <c r="AF174" s="4">
        <v>12.26</v>
      </c>
      <c r="AG174" s="4">
        <v>11.53</v>
      </c>
      <c r="AH174" s="4">
        <v>10.94</v>
      </c>
      <c r="AI174" s="4">
        <v>10.87</v>
      </c>
      <c r="AJ174" s="4">
        <v>10.53</v>
      </c>
      <c r="AK174" s="4">
        <v>10.220000000000001</v>
      </c>
      <c r="AL174" s="4">
        <v>10.8</v>
      </c>
      <c r="AM174" s="4">
        <v>11.38</v>
      </c>
      <c r="AN174" s="4">
        <v>12.64</v>
      </c>
      <c r="AO174" s="4">
        <v>12.11</v>
      </c>
      <c r="AP174" s="4">
        <v>12.7</v>
      </c>
      <c r="AQ174" s="4">
        <v>12.54</v>
      </c>
      <c r="AR174" s="4">
        <v>12.15</v>
      </c>
      <c r="AS174" s="4">
        <v>12.8</v>
      </c>
      <c r="AT174" s="4">
        <v>13.14</v>
      </c>
      <c r="AU174" s="4">
        <v>13.904999999999999</v>
      </c>
      <c r="AV174" s="4">
        <v>14.53</v>
      </c>
      <c r="AW174" s="4">
        <v>15.32</v>
      </c>
      <c r="AX174" s="4">
        <v>15.47</v>
      </c>
      <c r="AY174" s="12">
        <v>15.04</v>
      </c>
      <c r="AZ174" s="12">
        <v>16.399999999999999</v>
      </c>
      <c r="BA174" s="12">
        <v>16.46</v>
      </c>
      <c r="BB174" s="18">
        <v>16.47</v>
      </c>
      <c r="BC174" s="63">
        <v>19.46</v>
      </c>
      <c r="BD174" s="63">
        <v>18.5</v>
      </c>
      <c r="BE174" s="63">
        <v>20.66</v>
      </c>
      <c r="BF174" s="63">
        <v>23</v>
      </c>
      <c r="BG174" s="91" cm="1">
        <f t="array" aca="1" ref="BG174" ca="1">_FV(EE174,"Preço")</f>
        <v>22.7</v>
      </c>
      <c r="BH174" s="93" t="s">
        <v>171</v>
      </c>
      <c r="BI174" s="32" cm="1">
        <f t="array" aca="1" ref="BI174" ca="1">_FV(EE174,"Beta")</f>
        <v>1.8681000000000001</v>
      </c>
      <c r="BJ174" s="96" cm="1">
        <f t="array" aca="1" ref="BJ174" ca="1">_FV(EE174,"Variação (%)",TRUE)</f>
        <v>-6.5649999999999997E-3</v>
      </c>
      <c r="BK174" s="49"/>
      <c r="BL174" s="49"/>
      <c r="BN174" s="32"/>
      <c r="BO174" s="20" cm="1">
        <f t="array" aca="1" ref="BO174" ca="1">_FV(EE174,"Baixo")</f>
        <v>22.31</v>
      </c>
      <c r="BP174" s="20" cm="1">
        <f t="array" aca="1" ref="BP174" ca="1">_FV(EE174,"Alto")</f>
        <v>23.09</v>
      </c>
      <c r="BQ174" s="32"/>
      <c r="BR174" s="74">
        <f ca="1">SQRT(22.5*(BG174/VLOOKUP(BH174,Fundamentus!A:U,3,FALSE))*(BG174/VLOOKUP(BH174,Fundamentus!A:U,4,FALSE)))</f>
        <v>37.956304780865104</v>
      </c>
      <c r="BT174" s="73">
        <f t="shared" ca="1" si="158"/>
        <v>-1.3043478260869596E-2</v>
      </c>
      <c r="BU174" s="36">
        <f t="shared" si="159"/>
        <v>0.58557175748273227</v>
      </c>
      <c r="BV174" s="8"/>
      <c r="BW174" s="72">
        <f t="shared" si="160"/>
        <v>10.220000000000001</v>
      </c>
      <c r="BX174" s="72">
        <f t="shared" si="161"/>
        <v>13.87353448275862</v>
      </c>
      <c r="BY174" s="72">
        <f t="shared" si="162"/>
        <v>23</v>
      </c>
      <c r="BZ174" s="17"/>
      <c r="CA174" s="17"/>
      <c r="CB174" s="43">
        <f t="shared" si="163"/>
        <v>20.079608173809333</v>
      </c>
      <c r="CC174" s="18">
        <f t="shared" si="164"/>
        <v>23.444292408622459</v>
      </c>
      <c r="CD174" s="43">
        <f t="shared" si="165"/>
        <v>26.808976643435585</v>
      </c>
      <c r="CE174" s="98">
        <f t="shared" ca="1" si="166"/>
        <v>-0.22120720896229895</v>
      </c>
      <c r="CF174" s="17"/>
      <c r="CG174" s="20">
        <f t="shared" si="167"/>
        <v>1.6999999999999975</v>
      </c>
      <c r="CH174" s="20">
        <f t="shared" si="168"/>
        <v>5.9599999999999991</v>
      </c>
      <c r="CI174" s="20">
        <f t="shared" si="169"/>
        <v>14.479999999999997</v>
      </c>
      <c r="CJ174" s="49">
        <f t="shared" si="170"/>
        <v>18.739999999999998</v>
      </c>
      <c r="CK174" s="20">
        <f t="shared" si="171"/>
        <v>27.259999999999998</v>
      </c>
      <c r="CL174" s="20">
        <f t="shared" si="172"/>
        <v>31.519999999999996</v>
      </c>
      <c r="CM174" s="20">
        <f t="shared" si="173"/>
        <v>40.039999999999992</v>
      </c>
      <c r="CN174" s="2" cm="1">
        <f t="array" aca="1" ref="CN174" ca="1">MAX(_xlfn._xlws.FILTER(CG174:CM174,CG174:CM174&lt;BG174))</f>
        <v>18.739999999999998</v>
      </c>
      <c r="CO174" s="2" cm="1">
        <f t="array" aca="1" ref="CO174" ca="1">MIN(_xlfn._xlws.FILTER($CG174:$CM174,$CG174:$CM174&gt;BG174))</f>
        <v>27.259999999999998</v>
      </c>
      <c r="CP174" s="19">
        <f t="shared" ca="1" si="183"/>
        <v>0.45464247598719321</v>
      </c>
      <c r="CQ174" s="23">
        <f t="shared" ca="1" si="184"/>
        <v>-0.2273212379935966</v>
      </c>
      <c r="CR174" s="23">
        <f t="shared" ca="1" si="185"/>
        <v>-0.15154749199573106</v>
      </c>
      <c r="CS174" s="23">
        <f t="shared" ca="1" si="186"/>
        <v>-9.0928495197438647E-2</v>
      </c>
      <c r="CT174" s="23">
        <f t="shared" ca="1" si="187"/>
        <v>-5.0515830665243691E-2</v>
      </c>
      <c r="CU174" s="23">
        <f t="shared" ca="1" si="188"/>
        <v>-2.6743675058070189E-2</v>
      </c>
      <c r="CV174" s="23">
        <f t="shared" ca="1" si="189"/>
        <v>-1.3777044726884643E-2</v>
      </c>
      <c r="CW174" s="23">
        <f t="shared" ca="1" si="190"/>
        <v>-6.9944996305722033E-3</v>
      </c>
      <c r="CX174" s="24">
        <f t="shared" ca="1" si="191"/>
        <v>6.9944996305722033E-3</v>
      </c>
      <c r="CY174" s="24">
        <f t="shared" ca="1" si="192"/>
        <v>1.3777044726884643E-2</v>
      </c>
      <c r="CZ174" s="24">
        <f t="shared" ca="1" si="193"/>
        <v>2.6743675058070189E-2</v>
      </c>
      <c r="DA174" s="24">
        <f t="shared" ca="1" si="194"/>
        <v>5.0515830665243691E-2</v>
      </c>
      <c r="DB174" s="24">
        <f t="shared" ca="1" si="195"/>
        <v>9.0928495197438647E-2</v>
      </c>
      <c r="DC174" s="24">
        <f t="shared" ca="1" si="196"/>
        <v>0.15154749199573106</v>
      </c>
      <c r="DD174" s="24">
        <f t="shared" ca="1" si="197"/>
        <v>0.2273212379935966</v>
      </c>
      <c r="DF174" s="19" cm="1">
        <f t="array" aca="1" ref="DF174" ca="1">MAX(_xlfn._xlws.FILTER(CQ174:DD174,CQ174:DD174&lt;BJ174))</f>
        <v>-6.9944996305722033E-3</v>
      </c>
      <c r="DG174" s="19" cm="1">
        <f t="array" aca="1" ref="DG174" ca="1">MIN(_xlfn._xlws.FILTER(CQ174:DD174,CQ174:DD174&gt;BJ174))</f>
        <v>6.9944996305722033E-3</v>
      </c>
      <c r="DH174" s="2" cm="1">
        <f t="array" aca="1" ref="DH174" ca="1">_FV(EE174,"Fechamento anterior",TRUE)</f>
        <v>22.85</v>
      </c>
      <c r="DI174" s="36">
        <f t="shared" ca="1" si="174"/>
        <v>3.0734736647445405E-2</v>
      </c>
      <c r="DJ174" s="18">
        <f t="shared" ca="1" si="198"/>
        <v>22.690175683441428</v>
      </c>
      <c r="DK174" s="18">
        <f t="shared" ca="1" si="199"/>
        <v>23.009824316558575</v>
      </c>
      <c r="DL174" s="9"/>
      <c r="DM174" s="9"/>
      <c r="DN174" s="9"/>
      <c r="DO174" s="9"/>
      <c r="DP174" s="79" t="e" vm="4">
        <v>#VALUE!</v>
      </c>
      <c r="DQ174" s="79">
        <v>4.716160909302965E-3</v>
      </c>
      <c r="DR174" s="79">
        <v>1.9235809891011174E-2</v>
      </c>
      <c r="DS174" s="79">
        <f t="shared" ca="1" si="175"/>
        <v>1.3988999261144407E-2</v>
      </c>
      <c r="DT174" s="47"/>
      <c r="DU174" s="43">
        <f t="shared" si="176"/>
        <v>1.6823421174065636</v>
      </c>
      <c r="DV174" s="83">
        <f t="shared" ca="1" si="177"/>
        <v>2.2942</v>
      </c>
      <c r="DW174" s="83">
        <f t="shared" ca="1" si="178"/>
        <v>2.5246</v>
      </c>
      <c r="DX174" s="83">
        <f t="shared" ca="1" si="179"/>
        <v>-0.23039999999999994</v>
      </c>
      <c r="DY174" s="67"/>
      <c r="DZ174" s="67"/>
      <c r="EA174" s="85"/>
      <c r="EB174" s="44">
        <v>1043200</v>
      </c>
      <c r="EC174" s="44" cm="1">
        <f t="array" aca="1" ref="EC174" ca="1">_FV(EE174,"Volume")</f>
        <v>1135500</v>
      </c>
      <c r="EE174" s="2" t="e" vm="176">
        <v>#VALUE!</v>
      </c>
      <c r="EG174" s="10" cm="1">
        <f t="array" aca="1" ref="EG174" ca="1">_FV(EE174,"Ações em circulação",TRUE)</f>
        <v>84909370</v>
      </c>
      <c r="EH174" s="21">
        <f>VLOOKUP(BH174,Fundamentus!A:U,5,FALSE)</f>
        <v>1.1200000000000001</v>
      </c>
      <c r="EI174" s="2">
        <f t="shared" ca="1" si="180"/>
        <v>1720930981.2499998</v>
      </c>
      <c r="EJ174" s="20">
        <v>286311363.16249996</v>
      </c>
      <c r="EK174" s="20">
        <f t="shared" ca="1" si="181"/>
        <v>282576867.12124997</v>
      </c>
      <c r="EM174" s="40" t="str">
        <f>IF(VLOOKUP(BH174,Fundamentus!A:U,3,FALSE)&lt;15,"Bom",IF(VLOOKUP(BH174,Fundamentus!A:U,3,FALSE)&gt;15,"Ruim","n/a"))</f>
        <v>Bom</v>
      </c>
      <c r="EN174" s="36" t="str">
        <f>IF(VLOOKUP(BH174,Fundamentus!A:U,4,FALSE)&lt;1,"Baixo",IF(VLOOKUP(BH174,Fundamentus!A:U,4,FALSE)&lt;1.5,"Moderado",IF(VLOOKUP(BH174,Fundamentus!A:U,4,FALSE)&gt;1.5,"Alto","n/a")))</f>
        <v>Moderado</v>
      </c>
      <c r="EO174" s="20" t="str">
        <f>IF(VLOOKUP(BH174,Fundamentus!A:U,8,FALSE)&lt;0,"Risco elevado",IF(VLOOKUP(BH174,Fundamentus!A:U,8,FALSE)&lt;1,"Saudável",IF(VLOOKUP(BH174,Fundamentus!A:U,8,FALSE)&lt;3,"Estável",IF(VLOOKUP(BH174,Fundamentus!A:U,8,FALSE)&gt;3,"Alerta","n/a"))))</f>
        <v>Estável</v>
      </c>
      <c r="EP174" s="36" t="str">
        <f t="shared" si="182"/>
        <v>Bom</v>
      </c>
      <c r="EQ174" s="20" t="str">
        <f>IF(VLOOKUP(BH174,Fundamentus!A:U,12,FALSE)&lt;2,"Subvalorizada",IF(VLOOKUP(BH174,Fundamentus!A:U,12,FALSE)&lt;6,"Muita barata",IF(VLOOKUP(BH174,Fundamentus!A:U,12,FALSE)&lt;6,"Barata",IF(VLOOKUP(BH174,Fundamentus!A:U,12,FALSE)&lt;8,"Atrativa",IF(VLOOKUP(BH174,Fundamentus!A:U,12,FALSE)&gt;8,"Supervalorizada","n/a")))))</f>
        <v>Atrativa</v>
      </c>
      <c r="ES174" s="20" t="str">
        <f>IF(VLOOKUP(BH174,Fundamentus!A:U,17,FALSE)&lt;0.1,"Fraco retorno",IF(VLOOKUP(BH174,Fundamentus!A:U,17,FALSE)&gt;0.1,"Bom retorno","n/a"))</f>
        <v>Bom retorno</v>
      </c>
      <c r="ET174" s="20" t="str">
        <f>IF(VLOOKUP(BH174,Fundamentus!A:U,16,FALSE)&lt;0.1,"Ineficiente",IF(VLOOKUP(BH174,Fundamentus!A:U,16,FALSE)&gt;0.1,"Eficiente","n/a"))</f>
        <v>Ineficiente</v>
      </c>
      <c r="EU174" s="41" t="str">
        <f>IF(VLOOKUP(BH174,Fundamentus!A:U,16,FALSE)&lt;0.1,"Oper. Ineficiente",IF(VLOOKUP(BH174,Fundamentus!A:U,16,FALSE)&gt;0.1,"Oper.Eficiente","n/a"))</f>
        <v>Oper. Ineficiente</v>
      </c>
      <c r="EV174" s="42">
        <f>VLOOKUP(BH174,Fundamentus!A:U,14,FALSE)</f>
        <v>0.16420000000000001</v>
      </c>
      <c r="EW174" s="20" t="str">
        <f>IF(VLOOKUP(BH174,Fundamentus!A:U,21,FALSE)&lt;0,"Negativo",IF(VLOOKUP(BH174,Fundamentus!A:U,21,FALSE)&lt;0.05,"Fraco",IF(VLOOKUP(BH174,Fundamentus!A:U,21,FALSE)&lt;0.1,"Bom",IF(VLOOKUP(BH174,Fundamentus!A:U,21,FALSE)&gt;0.1,"Muito bom","n/a"))))</f>
        <v>Muito bom</v>
      </c>
      <c r="EY174" s="37" t="str">
        <f>IF(VLOOKUP(BH174,Fundamentus!A:U,15,FALSE)&gt;1,"Bom",IF(VLOOKUP(BH174,Fundamentus!A:U,15,FALSE)&lt;1,"Ruim","n/a"))</f>
        <v>Bom</v>
      </c>
      <c r="EZ174" s="20" t="str">
        <f>IF(VLOOKUP(BH174,Fundamentus!A:U,20,FALSE)&lt;0.5,"Baixa",IF(VLOOKUP(BH174,Fundamentus!A:U,20,FALSE)&lt;1,"Moderada",IF(VLOOKUP(BH174,Fundamentus!A:U,20,FALSE)&lt;2,"Alerta",IF(VLOOKUP(BH174,Fundamentus!A:U,20,FALSE)&gt;2,"Alta","n/a"))))</f>
        <v>Baixa</v>
      </c>
      <c r="FA174" s="10"/>
    </row>
    <row r="175" spans="1:157" s="2" customFormat="1" ht="11.25" hidden="1" x14ac:dyDescent="0.2">
      <c r="A175" s="4">
        <v>0.5</v>
      </c>
      <c r="B175" s="4">
        <v>0.5</v>
      </c>
      <c r="C175" s="4">
        <v>0.37</v>
      </c>
      <c r="D175" s="4">
        <v>0.37</v>
      </c>
      <c r="E175" s="4">
        <v>1.1499999999999999</v>
      </c>
      <c r="F175" s="4">
        <v>1.1599999999999999</v>
      </c>
      <c r="G175" s="4">
        <v>1.18</v>
      </c>
      <c r="H175" s="4">
        <v>1</v>
      </c>
      <c r="I175" s="4">
        <v>1.17</v>
      </c>
      <c r="J175" s="4">
        <v>1.0900000000000001</v>
      </c>
      <c r="K175" s="4">
        <v>1.1599999999999999</v>
      </c>
      <c r="L175" s="4">
        <v>1.02</v>
      </c>
      <c r="M175" s="4">
        <v>1.05</v>
      </c>
      <c r="N175" s="4">
        <v>0.88</v>
      </c>
      <c r="O175" s="4">
        <v>0.9</v>
      </c>
      <c r="P175" s="4">
        <v>0.8</v>
      </c>
      <c r="Q175" s="4">
        <v>0.85</v>
      </c>
      <c r="R175" s="4">
        <v>0.9</v>
      </c>
      <c r="S175" s="4">
        <v>1.07</v>
      </c>
      <c r="T175" s="4">
        <v>1.01</v>
      </c>
      <c r="U175" s="4">
        <v>0.97</v>
      </c>
      <c r="V175" s="4">
        <v>0.95</v>
      </c>
      <c r="W175" s="4">
        <v>0.93</v>
      </c>
      <c r="X175" s="4">
        <v>1.21</v>
      </c>
      <c r="Y175" s="4">
        <v>2.0499999999999998</v>
      </c>
      <c r="Z175" s="4">
        <v>1.71</v>
      </c>
      <c r="AA175" s="4">
        <v>1.93</v>
      </c>
      <c r="AB175" s="4">
        <v>1.9</v>
      </c>
      <c r="AC175" s="4">
        <v>1.64</v>
      </c>
      <c r="AD175" s="4">
        <v>1.81</v>
      </c>
      <c r="AE175" s="4">
        <v>1.6</v>
      </c>
      <c r="AF175" s="4">
        <v>1.61</v>
      </c>
      <c r="AG175" s="4">
        <v>1.35</v>
      </c>
      <c r="AH175" s="4">
        <v>1.22</v>
      </c>
      <c r="AI175" s="4">
        <v>1.1499999999999999</v>
      </c>
      <c r="AJ175" s="4">
        <v>0.89</v>
      </c>
      <c r="AK175" s="4">
        <v>0.74</v>
      </c>
      <c r="AL175" s="4">
        <v>0.73</v>
      </c>
      <c r="AM175" s="4">
        <v>0.69</v>
      </c>
      <c r="AN175" s="4">
        <v>0.66</v>
      </c>
      <c r="AO175" s="4">
        <v>0.66</v>
      </c>
      <c r="AP175" s="4">
        <v>0.74</v>
      </c>
      <c r="AQ175" s="4">
        <v>0.77</v>
      </c>
      <c r="AR175" s="4">
        <v>0.76</v>
      </c>
      <c r="AS175" s="4">
        <v>0.79</v>
      </c>
      <c r="AT175" s="4">
        <v>0.97</v>
      </c>
      <c r="AU175" s="4">
        <v>1.1000000000000001</v>
      </c>
      <c r="AV175" s="4">
        <v>1.21</v>
      </c>
      <c r="AW175" s="4">
        <v>1.35</v>
      </c>
      <c r="AX175" s="4">
        <v>1.39</v>
      </c>
      <c r="AY175" s="12">
        <v>1.35</v>
      </c>
      <c r="AZ175" s="12">
        <v>1.46</v>
      </c>
      <c r="BA175" s="12">
        <v>1.18</v>
      </c>
      <c r="BB175" s="18">
        <v>1.55</v>
      </c>
      <c r="BC175" s="63">
        <v>1.45</v>
      </c>
      <c r="BD175" s="63">
        <v>1.17</v>
      </c>
      <c r="BE175" s="63">
        <v>1.1599999999999999</v>
      </c>
      <c r="BF175" s="63">
        <v>1.03</v>
      </c>
      <c r="BG175" s="91" cm="1">
        <f t="array" aca="1" ref="BG175" ca="1">_FV(EE175,"Preço")</f>
        <v>0.98</v>
      </c>
      <c r="BH175" s="93" t="s">
        <v>172</v>
      </c>
      <c r="BI175" s="32" cm="1">
        <f t="array" aca="1" ref="BI175" ca="1">_FV(EE175,"Beta")</f>
        <v>1.3673999999999999</v>
      </c>
      <c r="BJ175" s="96" cm="1">
        <f t="array" aca="1" ref="BJ175" ca="1">_FV(EE175,"Variação (%)",TRUE)</f>
        <v>-2.9703E-2</v>
      </c>
      <c r="BK175" s="49"/>
      <c r="BL175" s="49"/>
      <c r="BN175" s="32"/>
      <c r="BO175" s="20" cm="1">
        <f t="array" aca="1" ref="BO175" ca="1">_FV(EE175,"Baixo")</f>
        <v>0.97</v>
      </c>
      <c r="BP175" s="20" cm="1">
        <f t="array" aca="1" ref="BP175" ca="1">_FV(EE175,"Alto")</f>
        <v>1.02</v>
      </c>
      <c r="BQ175" s="32"/>
      <c r="BR175" s="74">
        <f ca="1">SQRT(22.5*(BG175/VLOOKUP(BH175,Fundamentus!A:U,3,FALSE))*(BG175/VLOOKUP(BH175,Fundamentus!A:U,4,FALSE)))</f>
        <v>2.4793050246022412</v>
      </c>
      <c r="BT175" s="73">
        <f t="shared" ca="1" si="158"/>
        <v>-4.854368932038839E-2</v>
      </c>
      <c r="BU175" s="36">
        <f t="shared" si="159"/>
        <v>1.3199999999999998</v>
      </c>
      <c r="BV175" s="8"/>
      <c r="BW175" s="72">
        <f t="shared" si="160"/>
        <v>0.37</v>
      </c>
      <c r="BX175" s="72">
        <f t="shared" si="161"/>
        <v>1.1027586206896551</v>
      </c>
      <c r="BY175" s="72">
        <f t="shared" si="162"/>
        <v>2.0499999999999998</v>
      </c>
      <c r="BZ175" s="17"/>
      <c r="CA175" s="17"/>
      <c r="CB175" s="43">
        <f t="shared" si="163"/>
        <v>0.58386277192607694</v>
      </c>
      <c r="CC175" s="18">
        <f t="shared" si="164"/>
        <v>0.89025304592314569</v>
      </c>
      <c r="CD175" s="43">
        <f t="shared" si="165"/>
        <v>1.1966433199202144</v>
      </c>
      <c r="CE175" s="98">
        <f t="shared" ca="1" si="166"/>
        <v>0.29291711158466116</v>
      </c>
      <c r="CF175" s="17"/>
      <c r="CG175" s="20">
        <f t="shared" si="167"/>
        <v>-1.4299999999999993</v>
      </c>
      <c r="CH175" s="20">
        <f t="shared" si="168"/>
        <v>-0.52999999999999958</v>
      </c>
      <c r="CI175" s="20">
        <f t="shared" si="169"/>
        <v>0.25000000000000044</v>
      </c>
      <c r="CJ175" s="49">
        <f t="shared" si="170"/>
        <v>1.1500000000000001</v>
      </c>
      <c r="CK175" s="20">
        <f t="shared" si="171"/>
        <v>1.9300000000000002</v>
      </c>
      <c r="CL175" s="20">
        <f t="shared" si="172"/>
        <v>2.83</v>
      </c>
      <c r="CM175" s="20">
        <f t="shared" si="173"/>
        <v>3.6100000000000003</v>
      </c>
      <c r="CN175" s="2" cm="1">
        <f t="array" aca="1" ref="CN175" ca="1">MAX(_xlfn._xlws.FILTER(CG175:CM175,CG175:CM175&lt;BG175))</f>
        <v>0.25000000000000044</v>
      </c>
      <c r="CO175" s="2" cm="1">
        <f t="array" aca="1" ref="CO175" ca="1">MIN(_xlfn._xlws.FILTER($CG175:$CM175,$CG175:$CM175&gt;BG175))</f>
        <v>1.1500000000000001</v>
      </c>
      <c r="CP175" s="19">
        <f t="shared" ca="1" si="183"/>
        <v>3.5999999999999925</v>
      </c>
      <c r="CQ175" s="23">
        <f t="shared" ca="1" si="184"/>
        <v>-1.7999999999999963</v>
      </c>
      <c r="CR175" s="23">
        <f t="shared" ca="1" si="185"/>
        <v>-1.1999999999999975</v>
      </c>
      <c r="CS175" s="23">
        <f t="shared" ca="1" si="186"/>
        <v>-0.71999999999999853</v>
      </c>
      <c r="CT175" s="23">
        <f t="shared" ca="1" si="187"/>
        <v>-0.39999999999999919</v>
      </c>
      <c r="CU175" s="23">
        <f t="shared" ca="1" si="188"/>
        <v>-0.21176470588235249</v>
      </c>
      <c r="CV175" s="23">
        <f t="shared" ca="1" si="189"/>
        <v>-0.10909090909090886</v>
      </c>
      <c r="CW175" s="23">
        <f t="shared" ca="1" si="190"/>
        <v>-5.5384615384615268E-2</v>
      </c>
      <c r="CX175" s="24">
        <f t="shared" ca="1" si="191"/>
        <v>5.5384615384615268E-2</v>
      </c>
      <c r="CY175" s="24">
        <f t="shared" ca="1" si="192"/>
        <v>0.10909090909090886</v>
      </c>
      <c r="CZ175" s="24">
        <f t="shared" ca="1" si="193"/>
        <v>0.21176470588235249</v>
      </c>
      <c r="DA175" s="24">
        <f t="shared" ca="1" si="194"/>
        <v>0.39999999999999919</v>
      </c>
      <c r="DB175" s="24">
        <f t="shared" ca="1" si="195"/>
        <v>0.71999999999999853</v>
      </c>
      <c r="DC175" s="24">
        <f t="shared" ca="1" si="196"/>
        <v>1.1999999999999975</v>
      </c>
      <c r="DD175" s="24">
        <f t="shared" ca="1" si="197"/>
        <v>1.7999999999999963</v>
      </c>
      <c r="DF175" s="19" cm="1">
        <f t="array" aca="1" ref="DF175" ca="1">MAX(_xlfn._xlws.FILTER(CQ175:DD175,CQ175:DD175&lt;BJ175))</f>
        <v>-5.5384615384615268E-2</v>
      </c>
      <c r="DG175" s="19" cm="1">
        <f t="array" aca="1" ref="DG175" ca="1">MIN(_xlfn._xlws.FILTER(CQ175:DD175,CQ175:DD175&gt;BJ175))</f>
        <v>5.5384615384615268E-2</v>
      </c>
      <c r="DH175" s="2" cm="1">
        <f t="array" aca="1" ref="DH175" ca="1">_FV(EE175,"Fechamento anterior",TRUE)</f>
        <v>1.01</v>
      </c>
      <c r="DI175" s="36">
        <f t="shared" ca="1" si="174"/>
        <v>0.23184818481848063</v>
      </c>
      <c r="DJ175" s="18">
        <f t="shared" ca="1" si="198"/>
        <v>0.95406153846153863</v>
      </c>
      <c r="DK175" s="18">
        <f t="shared" ca="1" si="199"/>
        <v>1.0659384615384615</v>
      </c>
      <c r="DL175" s="9"/>
      <c r="DM175" s="9"/>
      <c r="DN175" s="9"/>
      <c r="DO175" s="9"/>
      <c r="DP175" s="79">
        <v>1.7678802529729205E-2</v>
      </c>
      <c r="DQ175" s="79">
        <v>3.2411137971170206E-2</v>
      </c>
      <c r="DR175" s="79">
        <v>5.5098934550989367E-2</v>
      </c>
      <c r="DS175" s="79">
        <f t="shared" ca="1" si="175"/>
        <v>0.11076923076923054</v>
      </c>
      <c r="DT175" s="47"/>
      <c r="DU175" s="43">
        <f t="shared" si="176"/>
        <v>0.15319513699853435</v>
      </c>
      <c r="DV175" s="83">
        <f t="shared" ca="1" si="177"/>
        <v>1.7934999999999999</v>
      </c>
      <c r="DW175" s="83">
        <f t="shared" ca="1" si="178"/>
        <v>4.3376999999999999</v>
      </c>
      <c r="DX175" s="83">
        <f t="shared" ca="1" si="179"/>
        <v>-2.5442</v>
      </c>
      <c r="DY175" s="67"/>
      <c r="DZ175" s="67"/>
      <c r="EA175" s="85"/>
      <c r="EB175" s="44">
        <v>3338200</v>
      </c>
      <c r="EC175" s="44" cm="1">
        <f t="array" aca="1" ref="EC175" ca="1">_FV(EE175,"Volume")</f>
        <v>1009800</v>
      </c>
      <c r="EE175" s="2" t="e" vm="177">
        <v>#VALUE!</v>
      </c>
      <c r="EG175" s="10" cm="1">
        <f t="array" aca="1" ref="EG175" ca="1">_FV(EE175,"Ações em circulação",TRUE)</f>
        <v>31822290</v>
      </c>
      <c r="EH175" s="21">
        <f>VLOOKUP(BH175,Fundamentus!A:U,5,FALSE)</f>
        <v>3.298</v>
      </c>
      <c r="EI175" s="2">
        <f t="shared" ca="1" si="180"/>
        <v>9455986.7192237712</v>
      </c>
      <c r="EJ175" s="20">
        <v>-18548101.280112188</v>
      </c>
      <c r="EK175" s="20">
        <f t="shared" ca="1" si="181"/>
        <v>-17647708.014087323</v>
      </c>
      <c r="EM175" s="40" t="str">
        <f>IF(VLOOKUP(BH175,Fundamentus!A:U,3,FALSE)&lt;15,"Bom",IF(VLOOKUP(BH175,Fundamentus!A:U,3,FALSE)&gt;15,"Ruim","n/a"))</f>
        <v>Bom</v>
      </c>
      <c r="EN175" s="36" t="str">
        <f>IF(VLOOKUP(BH175,Fundamentus!A:U,4,FALSE)&lt;1,"Baixo",IF(VLOOKUP(BH175,Fundamentus!A:U,4,FALSE)&lt;1.5,"Moderado",IF(VLOOKUP(BH175,Fundamentus!A:U,4,FALSE)&gt;1.5,"Alto","n/a")))</f>
        <v>Baixo</v>
      </c>
      <c r="EO175" s="20" t="str">
        <f>IF(VLOOKUP(BH175,Fundamentus!A:U,8,FALSE)&lt;0,"Risco elevado",IF(VLOOKUP(BH175,Fundamentus!A:U,8,FALSE)&lt;1,"Saudável",IF(VLOOKUP(BH175,Fundamentus!A:U,8,FALSE)&lt;3,"Estável",IF(VLOOKUP(BH175,Fundamentus!A:U,8,FALSE)&gt;3,"Alerta","n/a"))))</f>
        <v>Risco elevado</v>
      </c>
      <c r="EP175" s="36" t="str">
        <f t="shared" si="182"/>
        <v>Bom</v>
      </c>
      <c r="EQ175" s="20" t="str">
        <f>IF(VLOOKUP(BH175,Fundamentus!A:U,12,FALSE)&lt;2,"Subvalorizada",IF(VLOOKUP(BH175,Fundamentus!A:U,12,FALSE)&lt;6,"Muita barata",IF(VLOOKUP(BH175,Fundamentus!A:U,12,FALSE)&lt;6,"Barata",IF(VLOOKUP(BH175,Fundamentus!A:U,12,FALSE)&lt;8,"Atrativa",IF(VLOOKUP(BH175,Fundamentus!A:U,12,FALSE)&gt;8,"Supervalorizada","n/a")))))</f>
        <v>Subvalorizada</v>
      </c>
      <c r="ES175" s="20" t="str">
        <f>IF(VLOOKUP(BH175,Fundamentus!A:U,17,FALSE)&lt;0.1,"Fraco retorno",IF(VLOOKUP(BH175,Fundamentus!A:U,17,FALSE)&gt;0.1,"Bom retorno","n/a"))</f>
        <v>Bom retorno</v>
      </c>
      <c r="ET175" s="20" t="str">
        <f>IF(VLOOKUP(BH175,Fundamentus!A:U,16,FALSE)&lt;0.1,"Ineficiente",IF(VLOOKUP(BH175,Fundamentus!A:U,16,FALSE)&gt;0.1,"Eficiente","n/a"))</f>
        <v>Ineficiente</v>
      </c>
      <c r="EU175" s="41" t="str">
        <f>IF(VLOOKUP(BH175,Fundamentus!A:U,16,FALSE)&lt;0.1,"Oper. Ineficiente",IF(VLOOKUP(BH175,Fundamentus!A:U,16,FALSE)&gt;0.1,"Oper.Eficiente","n/a"))</f>
        <v>Oper. Ineficiente</v>
      </c>
      <c r="EV175" s="42">
        <f>VLOOKUP(BH175,Fundamentus!A:U,14,FALSE)</f>
        <v>-1.8663000000000001</v>
      </c>
      <c r="EW175" s="20" t="str">
        <f>IF(VLOOKUP(BH175,Fundamentus!A:U,21,FALSE)&lt;0,"Negativo",IF(VLOOKUP(BH175,Fundamentus!A:U,21,FALSE)&lt;0.05,"Fraco",IF(VLOOKUP(BH175,Fundamentus!A:U,21,FALSE)&lt;0.1,"Bom",IF(VLOOKUP(BH175,Fundamentus!A:U,21,FALSE)&gt;0.1,"Muito bom","n/a"))))</f>
        <v>Negativo</v>
      </c>
      <c r="EY175" s="37" t="str">
        <f>IF(VLOOKUP(BH175,Fundamentus!A:U,15,FALSE)&gt;1,"Bom",IF(VLOOKUP(BH175,Fundamentus!A:U,15,FALSE)&lt;1,"Ruim","n/a"))</f>
        <v>Ruim</v>
      </c>
      <c r="EZ175" s="20" t="str">
        <f>IF(VLOOKUP(BH175,Fundamentus!A:U,20,FALSE)&lt;0.5,"Baixa",IF(VLOOKUP(BH175,Fundamentus!A:U,20,FALSE)&lt;1,"Moderada",IF(VLOOKUP(BH175,Fundamentus!A:U,20,FALSE)&lt;2,"Alerta",IF(VLOOKUP(BH175,Fundamentus!A:U,20,FALSE)&gt;2,"Alta","n/a"))))</f>
        <v>Baixa</v>
      </c>
      <c r="FA175" s="10"/>
    </row>
    <row r="176" spans="1:157" s="2" customFormat="1" ht="11.25" hidden="1" x14ac:dyDescent="0.2">
      <c r="A176" s="4">
        <v>3.83</v>
      </c>
      <c r="B176" s="4">
        <v>3.88</v>
      </c>
      <c r="C176" s="4">
        <v>4.0599999999999996</v>
      </c>
      <c r="D176" s="4">
        <v>4.13</v>
      </c>
      <c r="E176" s="4">
        <v>4.24</v>
      </c>
      <c r="F176" s="4">
        <v>4.2</v>
      </c>
      <c r="G176" s="4">
        <v>3.87</v>
      </c>
      <c r="H176" s="4">
        <v>3.68</v>
      </c>
      <c r="I176" s="4">
        <v>3.71</v>
      </c>
      <c r="J176" s="4">
        <v>3.85</v>
      </c>
      <c r="K176" s="4">
        <v>3.85</v>
      </c>
      <c r="L176" s="4">
        <v>3.78</v>
      </c>
      <c r="M176" s="4">
        <v>3.74</v>
      </c>
      <c r="N176" s="4">
        <v>3.71</v>
      </c>
      <c r="O176" s="4">
        <v>4.04</v>
      </c>
      <c r="P176" s="4">
        <v>4.1500000000000004</v>
      </c>
      <c r="Q176" s="4">
        <v>5.39</v>
      </c>
      <c r="R176" s="4">
        <v>4.47</v>
      </c>
      <c r="S176" s="4">
        <v>4.93</v>
      </c>
      <c r="T176" s="4">
        <v>5.34</v>
      </c>
      <c r="U176" s="4">
        <v>5</v>
      </c>
      <c r="V176" s="4">
        <v>5.2</v>
      </c>
      <c r="W176" s="4">
        <v>5.25</v>
      </c>
      <c r="X176" s="4">
        <v>6.05</v>
      </c>
      <c r="Y176" s="4">
        <v>6.4</v>
      </c>
      <c r="Z176" s="4">
        <v>6.51</v>
      </c>
      <c r="AA176" s="4">
        <v>6.68</v>
      </c>
      <c r="AB176" s="4">
        <v>6.91</v>
      </c>
      <c r="AC176" s="4">
        <v>6.49</v>
      </c>
      <c r="AD176" s="4">
        <v>6.57</v>
      </c>
      <c r="AE176" s="4">
        <v>6.5</v>
      </c>
      <c r="AF176" s="4">
        <v>6.45</v>
      </c>
      <c r="AG176" s="4">
        <v>6.13</v>
      </c>
      <c r="AH176" s="4">
        <v>5.44</v>
      </c>
      <c r="AI176" s="4">
        <v>5.15</v>
      </c>
      <c r="AJ176" s="4">
        <v>5.25</v>
      </c>
      <c r="AK176" s="4">
        <v>5.32</v>
      </c>
      <c r="AL176" s="4">
        <v>4.9800000000000004</v>
      </c>
      <c r="AM176" s="4">
        <v>4.92</v>
      </c>
      <c r="AN176" s="4">
        <v>5.3</v>
      </c>
      <c r="AO176" s="4">
        <v>4.8499999999999996</v>
      </c>
      <c r="AP176" s="4">
        <v>4.4400000000000004</v>
      </c>
      <c r="AQ176" s="4">
        <v>4.3099999999999996</v>
      </c>
      <c r="AR176" s="4">
        <v>4.3600000000000003</v>
      </c>
      <c r="AS176" s="4">
        <v>4.25</v>
      </c>
      <c r="AT176" s="4">
        <v>4.3600000000000003</v>
      </c>
      <c r="AU176" s="4">
        <v>4.9950000000000001</v>
      </c>
      <c r="AV176" s="4">
        <v>4.88</v>
      </c>
      <c r="AW176" s="4">
        <v>4.5</v>
      </c>
      <c r="AX176" s="4">
        <v>4.1500000000000004</v>
      </c>
      <c r="AY176" s="12">
        <v>4.16</v>
      </c>
      <c r="AZ176" s="12">
        <v>4.5</v>
      </c>
      <c r="BA176" s="12">
        <v>4.4400000000000004</v>
      </c>
      <c r="BB176" s="18">
        <v>4.28</v>
      </c>
      <c r="BC176" s="63">
        <v>4.1100000000000003</v>
      </c>
      <c r="BD176" s="63">
        <v>4.07</v>
      </c>
      <c r="BE176" s="63">
        <v>4.04</v>
      </c>
      <c r="BF176" s="63">
        <v>4.05</v>
      </c>
      <c r="BG176" s="91" cm="1">
        <f t="array" aca="1" ref="BG176" ca="1">_FV(EE176,"Preço")</f>
        <v>4</v>
      </c>
      <c r="BH176" s="93" t="s">
        <v>173</v>
      </c>
      <c r="BI176" s="32" cm="1">
        <f t="array" aca="1" ref="BI176" ca="1">_FV(EE176,"Beta")</f>
        <v>1.7919</v>
      </c>
      <c r="BJ176" s="96" cm="1">
        <f t="array" aca="1" ref="BJ176" ca="1">_FV(EE176,"Variação (%)",TRUE)</f>
        <v>0</v>
      </c>
      <c r="BK176" s="49"/>
      <c r="BL176" s="49"/>
      <c r="BN176" s="32"/>
      <c r="BO176" s="20" cm="1">
        <f t="array" aca="1" ref="BO176" ca="1">_FV(EE176,"Baixo")</f>
        <v>3.99</v>
      </c>
      <c r="BP176" s="20" cm="1">
        <f t="array" aca="1" ref="BP176" ca="1">_FV(EE176,"Alto")</f>
        <v>4.0199999999999996</v>
      </c>
      <c r="BQ176" s="32"/>
      <c r="BR176" s="74">
        <f ca="1">SQRT(22.5*(BG176/VLOOKUP(BH176,Fundamentus!A:U,3,FALSE))*(BG176/VLOOKUP(BH176,Fundamentus!A:U,4,FALSE)))</f>
        <v>14.706942580212873</v>
      </c>
      <c r="BT176" s="73">
        <f t="shared" ca="1" si="158"/>
        <v>-1.2345679012345635E-2</v>
      </c>
      <c r="BU176" s="36">
        <f t="shared" si="159"/>
        <v>5.4830287206266308E-2</v>
      </c>
      <c r="BV176" s="8"/>
      <c r="BW176" s="72">
        <f t="shared" si="160"/>
        <v>3.68</v>
      </c>
      <c r="BX176" s="72">
        <f t="shared" si="161"/>
        <v>4.7947413793103451</v>
      </c>
      <c r="BY176" s="72">
        <f t="shared" si="162"/>
        <v>6.91</v>
      </c>
      <c r="BZ176" s="17"/>
      <c r="CA176" s="17"/>
      <c r="CB176" s="43">
        <f t="shared" si="163"/>
        <v>3.9621447973312409</v>
      </c>
      <c r="CC176" s="18">
        <f t="shared" si="164"/>
        <v>4.0157638238050595</v>
      </c>
      <c r="CD176" s="43">
        <f t="shared" si="165"/>
        <v>4.0693828502788776</v>
      </c>
      <c r="CE176" s="98">
        <f t="shared" ca="1" si="166"/>
        <v>-0.29399682988941872</v>
      </c>
      <c r="CF176" s="17"/>
      <c r="CG176" s="20">
        <f t="shared" si="167"/>
        <v>-0.38000000000000034</v>
      </c>
      <c r="CH176" s="20">
        <f t="shared" si="168"/>
        <v>1.65</v>
      </c>
      <c r="CI176" s="20">
        <f t="shared" si="169"/>
        <v>2.8499999999999996</v>
      </c>
      <c r="CJ176" s="49">
        <f t="shared" si="170"/>
        <v>4.88</v>
      </c>
      <c r="CK176" s="20">
        <f t="shared" si="171"/>
        <v>6.08</v>
      </c>
      <c r="CL176" s="20">
        <f t="shared" si="172"/>
        <v>8.11</v>
      </c>
      <c r="CM176" s="20">
        <f t="shared" si="173"/>
        <v>9.3099999999999987</v>
      </c>
      <c r="CN176" s="2" cm="1">
        <f t="array" aca="1" ref="CN176" ca="1">MAX(_xlfn._xlws.FILTER(CG176:CM176,CG176:CM176&lt;BG176))</f>
        <v>2.8499999999999996</v>
      </c>
      <c r="CO176" s="2" cm="1">
        <f t="array" aca="1" ref="CO176" ca="1">MIN(_xlfn._xlws.FILTER($CG176:$CM176,$CG176:$CM176&gt;BG176))</f>
        <v>4.88</v>
      </c>
      <c r="CP176" s="19">
        <f t="shared" ca="1" si="183"/>
        <v>0.71228070175438618</v>
      </c>
      <c r="CQ176" s="23">
        <f t="shared" ca="1" si="184"/>
        <v>-0.35614035087719309</v>
      </c>
      <c r="CR176" s="23">
        <f t="shared" ca="1" si="185"/>
        <v>-0.2374269005847954</v>
      </c>
      <c r="CS176" s="23">
        <f t="shared" ca="1" si="186"/>
        <v>-0.14245614035087723</v>
      </c>
      <c r="CT176" s="23">
        <f t="shared" ca="1" si="187"/>
        <v>-7.9142300194931792E-2</v>
      </c>
      <c r="CU176" s="23">
        <f t="shared" ca="1" si="188"/>
        <v>-4.1898864809081539E-2</v>
      </c>
      <c r="CV176" s="23">
        <f t="shared" ca="1" si="189"/>
        <v>-2.1584263689526855E-2</v>
      </c>
      <c r="CW176" s="23">
        <f t="shared" ca="1" si="190"/>
        <v>-1.0958164642375172E-2</v>
      </c>
      <c r="CX176" s="24">
        <f t="shared" ca="1" si="191"/>
        <v>1.0958164642375172E-2</v>
      </c>
      <c r="CY176" s="24">
        <f t="shared" ca="1" si="192"/>
        <v>2.1584263689526855E-2</v>
      </c>
      <c r="CZ176" s="24">
        <f t="shared" ca="1" si="193"/>
        <v>4.1898864809081539E-2</v>
      </c>
      <c r="DA176" s="24">
        <f t="shared" ca="1" si="194"/>
        <v>7.9142300194931792E-2</v>
      </c>
      <c r="DB176" s="24">
        <f t="shared" ca="1" si="195"/>
        <v>0.14245614035087723</v>
      </c>
      <c r="DC176" s="24">
        <f t="shared" ca="1" si="196"/>
        <v>0.2374269005847954</v>
      </c>
      <c r="DD176" s="24">
        <f t="shared" ca="1" si="197"/>
        <v>0.35614035087719309</v>
      </c>
      <c r="DF176" s="19" cm="1">
        <f t="array" aca="1" ref="DF176" ca="1">MAX(_xlfn._xlws.FILTER(CQ176:DD176,CQ176:DD176&lt;BJ176))</f>
        <v>-1.0958164642375172E-2</v>
      </c>
      <c r="DG176" s="19" cm="1">
        <f t="array" aca="1" ref="DG176" ca="1">MIN(_xlfn._xlws.FILTER(CQ176:DD176,CQ176:DD176&gt;BJ176))</f>
        <v>1.0958164642375172E-2</v>
      </c>
      <c r="DH176" s="2" cm="1">
        <f t="array" aca="1" ref="DH176" ca="1">_FV(EE176,"Fechamento anterior",TRUE)</f>
        <v>4</v>
      </c>
      <c r="DI176" s="36">
        <f t="shared" ca="1" si="174"/>
        <v>0.50000000000000255</v>
      </c>
      <c r="DJ176" s="18">
        <f t="shared" ca="1" si="198"/>
        <v>3.9561673414304992</v>
      </c>
      <c r="DK176" s="18">
        <f t="shared" ca="1" si="199"/>
        <v>4.0438326585695004</v>
      </c>
      <c r="DL176" s="9"/>
      <c r="DM176" s="9"/>
      <c r="DN176" s="9"/>
      <c r="DO176" s="9"/>
      <c r="DP176" s="79">
        <v>2.394005501280471E-2</v>
      </c>
      <c r="DQ176" s="79">
        <v>2.394005501280471E-2</v>
      </c>
      <c r="DR176" s="79">
        <v>2.394005501280471E-2</v>
      </c>
      <c r="DS176" s="79">
        <f t="shared" ca="1" si="175"/>
        <v>2.1916329284750343E-2</v>
      </c>
      <c r="DT176" s="47"/>
      <c r="DU176" s="43">
        <f t="shared" si="176"/>
        <v>2.6809513236909173E-2</v>
      </c>
      <c r="DV176" s="83">
        <f t="shared" ca="1" si="177"/>
        <v>2.218</v>
      </c>
      <c r="DW176" s="83">
        <f t="shared" ca="1" si="178"/>
        <v>1.7919</v>
      </c>
      <c r="DX176" s="83">
        <f t="shared" ca="1" si="179"/>
        <v>0.42609999999999992</v>
      </c>
      <c r="DY176" s="67"/>
      <c r="DZ176" s="67"/>
      <c r="EA176" s="85"/>
      <c r="EB176" s="44">
        <v>4400</v>
      </c>
      <c r="EC176" s="44" cm="1">
        <f t="array" aca="1" ref="EC176" ca="1">_FV(EE176,"Volume")</f>
        <v>15200</v>
      </c>
      <c r="EE176" s="2" t="e" vm="178">
        <v>#VALUE!</v>
      </c>
      <c r="EG176" s="10" cm="1">
        <f t="array" aca="1" ref="EG176" ca="1">_FV(EE176,"Ações em circulação",TRUE)</f>
        <v>44000000</v>
      </c>
      <c r="EH176" s="21">
        <f>VLOOKUP(BH176,Fundamentus!A:U,5,FALSE)</f>
        <v>0.13600000000000001</v>
      </c>
      <c r="EI176" s="2">
        <f t="shared" ca="1" si="180"/>
        <v>1294117647.0588233</v>
      </c>
      <c r="EJ176" s="20">
        <v>393088.23529411759</v>
      </c>
      <c r="EK176" s="20">
        <f t="shared" ca="1" si="181"/>
        <v>388235.29411764699</v>
      </c>
      <c r="EM176" s="40" t="str">
        <f>IF(VLOOKUP(BH176,Fundamentus!A:U,3,FALSE)&lt;15,"Bom",IF(VLOOKUP(BH176,Fundamentus!A:U,3,FALSE)&gt;15,"Ruim","n/a"))</f>
        <v>Bom</v>
      </c>
      <c r="EN176" s="36" t="str">
        <f>IF(VLOOKUP(BH176,Fundamentus!A:U,4,FALSE)&lt;1,"Baixo",IF(VLOOKUP(BH176,Fundamentus!A:U,4,FALSE)&lt;1.5,"Moderado",IF(VLOOKUP(BH176,Fundamentus!A:U,4,FALSE)&gt;1.5,"Alto","n/a")))</f>
        <v>Baixo</v>
      </c>
      <c r="EO176" s="20" t="str">
        <f>IF(VLOOKUP(BH176,Fundamentus!A:U,8,FALSE)&lt;0,"Risco elevado",IF(VLOOKUP(BH176,Fundamentus!A:U,8,FALSE)&lt;1,"Saudável",IF(VLOOKUP(BH176,Fundamentus!A:U,8,FALSE)&lt;3,"Estável",IF(VLOOKUP(BH176,Fundamentus!A:U,8,FALSE)&gt;3,"Alerta","n/a"))))</f>
        <v>Risco elevado</v>
      </c>
      <c r="EP176" s="36" t="str">
        <f t="shared" si="182"/>
        <v>Ruim</v>
      </c>
      <c r="EQ176" s="20" t="str">
        <f>IF(VLOOKUP(BH176,Fundamentus!A:U,12,FALSE)&lt;2,"Subvalorizada",IF(VLOOKUP(BH176,Fundamentus!A:U,12,FALSE)&lt;6,"Muita barata",IF(VLOOKUP(BH176,Fundamentus!A:U,12,FALSE)&lt;6,"Barata",IF(VLOOKUP(BH176,Fundamentus!A:U,12,FALSE)&lt;8,"Atrativa",IF(VLOOKUP(BH176,Fundamentus!A:U,12,FALSE)&gt;8,"Supervalorizada","n/a")))))</f>
        <v>Muita barata</v>
      </c>
      <c r="ES176" s="20" t="str">
        <f>IF(VLOOKUP(BH176,Fundamentus!A:U,17,FALSE)&lt;0.1,"Fraco retorno",IF(VLOOKUP(BH176,Fundamentus!A:U,17,FALSE)&gt;0.1,"Bom retorno","n/a"))</f>
        <v>Fraco retorno</v>
      </c>
      <c r="ET176" s="20" t="str">
        <f>IF(VLOOKUP(BH176,Fundamentus!A:U,16,FALSE)&lt;0.1,"Ineficiente",IF(VLOOKUP(BH176,Fundamentus!A:U,16,FALSE)&gt;0.1,"Eficiente","n/a"))</f>
        <v>Ineficiente</v>
      </c>
      <c r="EU176" s="41" t="str">
        <f>IF(VLOOKUP(BH176,Fundamentus!A:U,16,FALSE)&lt;0.1,"Oper. Ineficiente",IF(VLOOKUP(BH176,Fundamentus!A:U,16,FALSE)&gt;0.1,"Oper.Eficiente","n/a"))</f>
        <v>Oper. Ineficiente</v>
      </c>
      <c r="EV176" s="42">
        <f>VLOOKUP(BH176,Fundamentus!A:U,14,FALSE)</f>
        <v>2.9999999999999997E-4</v>
      </c>
      <c r="EW176" s="20" t="str">
        <f>IF(VLOOKUP(BH176,Fundamentus!A:U,21,FALSE)&lt;0,"Negativo",IF(VLOOKUP(BH176,Fundamentus!A:U,21,FALSE)&lt;0.05,"Fraco",IF(VLOOKUP(BH176,Fundamentus!A:U,21,FALSE)&lt;0.1,"Bom",IF(VLOOKUP(BH176,Fundamentus!A:U,21,FALSE)&gt;0.1,"Muito bom","n/a"))))</f>
        <v>Bom</v>
      </c>
      <c r="EY176" s="37" t="str">
        <f>IF(VLOOKUP(BH176,Fundamentus!A:U,15,FALSE)&gt;1,"Bom",IF(VLOOKUP(BH176,Fundamentus!A:U,15,FALSE)&lt;1,"Ruim","n/a"))</f>
        <v>Ruim</v>
      </c>
      <c r="EZ176" s="20" t="str">
        <f>IF(VLOOKUP(BH176,Fundamentus!A:U,20,FALSE)&lt;0.5,"Baixa",IF(VLOOKUP(BH176,Fundamentus!A:U,20,FALSE)&lt;1,"Moderada",IF(VLOOKUP(BH176,Fundamentus!A:U,20,FALSE)&lt;2,"Alerta",IF(VLOOKUP(BH176,Fundamentus!A:U,20,FALSE)&gt;2,"Alta","n/a"))))</f>
        <v>Alerta</v>
      </c>
      <c r="FA176" s="10"/>
    </row>
    <row r="177" spans="1:157" s="2" customFormat="1" ht="11.25" hidden="1" x14ac:dyDescent="0.2">
      <c r="A177" s="4">
        <v>12.03</v>
      </c>
      <c r="B177" s="4">
        <v>11.27</v>
      </c>
      <c r="C177" s="4">
        <v>11.5</v>
      </c>
      <c r="D177" s="4">
        <v>11.38</v>
      </c>
      <c r="E177" s="4">
        <v>10.96</v>
      </c>
      <c r="F177" s="4">
        <v>10.88</v>
      </c>
      <c r="G177" s="4">
        <v>10.7</v>
      </c>
      <c r="H177" s="4">
        <v>10.93</v>
      </c>
      <c r="I177" s="4">
        <v>11.5</v>
      </c>
      <c r="J177" s="4">
        <v>12.42</v>
      </c>
      <c r="K177" s="4">
        <v>12.53</v>
      </c>
      <c r="L177" s="4">
        <v>12</v>
      </c>
      <c r="M177" s="4">
        <v>11.72</v>
      </c>
      <c r="N177" s="4">
        <v>11.18</v>
      </c>
      <c r="O177" s="4">
        <v>11.62</v>
      </c>
      <c r="P177" s="4">
        <v>11</v>
      </c>
      <c r="Q177" s="4">
        <v>11.23</v>
      </c>
      <c r="R177" s="4">
        <v>11.28</v>
      </c>
      <c r="S177" s="4">
        <v>11.25</v>
      </c>
      <c r="T177" s="4">
        <v>11.15</v>
      </c>
      <c r="U177" s="4">
        <v>11.02</v>
      </c>
      <c r="V177" s="4">
        <v>10.52</v>
      </c>
      <c r="W177" s="4">
        <v>10.47</v>
      </c>
      <c r="X177" s="4">
        <v>10.050000000000001</v>
      </c>
      <c r="Y177" s="4">
        <v>9.9499999999999993</v>
      </c>
      <c r="Z177" s="4">
        <v>9.81</v>
      </c>
      <c r="AA177" s="4">
        <v>9.27</v>
      </c>
      <c r="AB177" s="4">
        <v>10.23</v>
      </c>
      <c r="AC177" s="4">
        <v>9.26</v>
      </c>
      <c r="AD177" s="4">
        <v>9.1199999999999992</v>
      </c>
      <c r="AE177" s="4">
        <v>9.17</v>
      </c>
      <c r="AF177" s="4">
        <v>8.85</v>
      </c>
      <c r="AG177" s="4">
        <v>9</v>
      </c>
      <c r="AH177" s="4">
        <v>8.4600000000000009</v>
      </c>
      <c r="AI177" s="4">
        <v>8.24</v>
      </c>
      <c r="AJ177" s="4">
        <v>8.1</v>
      </c>
      <c r="AK177" s="4">
        <v>8.3000000000000007</v>
      </c>
      <c r="AL177" s="4">
        <v>8.14</v>
      </c>
      <c r="AM177" s="4">
        <v>7.98</v>
      </c>
      <c r="AN177" s="4">
        <v>8.06</v>
      </c>
      <c r="AO177" s="4">
        <v>8.09</v>
      </c>
      <c r="AP177" s="4">
        <v>8.58</v>
      </c>
      <c r="AQ177" s="4">
        <v>8.0299999999999994</v>
      </c>
      <c r="AR177" s="4">
        <v>7.99</v>
      </c>
      <c r="AS177" s="4">
        <v>8.16</v>
      </c>
      <c r="AT177" s="4">
        <v>8.08</v>
      </c>
      <c r="AU177" s="4">
        <v>7.9850000000000003</v>
      </c>
      <c r="AV177" s="4">
        <v>8.26</v>
      </c>
      <c r="AW177" s="4">
        <v>8.41</v>
      </c>
      <c r="AX177" s="4">
        <v>8.57</v>
      </c>
      <c r="AY177" s="12">
        <v>9.11</v>
      </c>
      <c r="AZ177" s="12">
        <v>8.92</v>
      </c>
      <c r="BA177" s="12">
        <v>8.48</v>
      </c>
      <c r="BB177" s="18">
        <v>7.84</v>
      </c>
      <c r="BC177" s="63">
        <v>7.8</v>
      </c>
      <c r="BD177" s="63">
        <v>7.77</v>
      </c>
      <c r="BE177" s="63">
        <v>7.7</v>
      </c>
      <c r="BF177" s="63">
        <v>7.22</v>
      </c>
      <c r="BG177" s="91" cm="1">
        <f t="array" aca="1" ref="BG177" ca="1">_FV(EE177,"Preço")</f>
        <v>7.18</v>
      </c>
      <c r="BH177" s="93" t="s">
        <v>174</v>
      </c>
      <c r="BI177" s="32" cm="1">
        <f t="array" aca="1" ref="BI177" ca="1">_FV(EE177,"Beta")</f>
        <v>1.0914999999999999</v>
      </c>
      <c r="BJ177" s="96" cm="1">
        <f t="array" aca="1" ref="BJ177" ca="1">_FV(EE177,"Variação (%)",TRUE)</f>
        <v>-1.3910000000000001E-3</v>
      </c>
      <c r="BK177" s="49"/>
      <c r="BL177" s="49"/>
      <c r="BN177" s="32"/>
      <c r="BO177" s="20" cm="1">
        <f t="array" aca="1" ref="BO177" ca="1">_FV(EE177,"Baixo")</f>
        <v>7.16</v>
      </c>
      <c r="BP177" s="20" cm="1">
        <f t="array" aca="1" ref="BP177" ca="1">_FV(EE177,"Alto")</f>
        <v>7.24</v>
      </c>
      <c r="BQ177" s="32"/>
      <c r="BR177" s="74">
        <f ca="1">SQRT(22.5*(BG177/VLOOKUP(BH177,Fundamentus!A:U,3,FALSE))*(BG177/VLOOKUP(BH177,Fundamentus!A:U,4,FALSE)))</f>
        <v>10.448926452321505</v>
      </c>
      <c r="BT177" s="73">
        <f t="shared" ca="1" si="158"/>
        <v>-5.5401662049861548E-3</v>
      </c>
      <c r="BU177" s="36">
        <f t="shared" si="159"/>
        <v>-0.35993349958437237</v>
      </c>
      <c r="BV177" s="8"/>
      <c r="BW177" s="72">
        <f t="shared" si="160"/>
        <v>7.22</v>
      </c>
      <c r="BX177" s="72">
        <f t="shared" si="161"/>
        <v>9.6469827586206929</v>
      </c>
      <c r="BY177" s="72">
        <f t="shared" si="162"/>
        <v>12.53</v>
      </c>
      <c r="BZ177" s="17"/>
      <c r="CA177" s="17"/>
      <c r="CB177" s="43">
        <f t="shared" si="163"/>
        <v>6.7187483745129191</v>
      </c>
      <c r="CC177" s="18">
        <f t="shared" si="164"/>
        <v>7.1891471415181059</v>
      </c>
      <c r="CD177" s="43">
        <f t="shared" si="165"/>
        <v>7.6595459085232926</v>
      </c>
      <c r="CE177" s="98">
        <f t="shared" ca="1" si="166"/>
        <v>-1.944550487736563E-2</v>
      </c>
      <c r="CF177" s="17"/>
      <c r="CG177" s="20">
        <f t="shared" si="167"/>
        <v>0.14000000000000146</v>
      </c>
      <c r="CH177" s="20">
        <f t="shared" si="168"/>
        <v>3.6800000000000006</v>
      </c>
      <c r="CI177" s="20">
        <f t="shared" si="169"/>
        <v>5.4500000000000011</v>
      </c>
      <c r="CJ177" s="49">
        <f t="shared" si="170"/>
        <v>8.99</v>
      </c>
      <c r="CK177" s="20">
        <f t="shared" si="171"/>
        <v>10.760000000000002</v>
      </c>
      <c r="CL177" s="20">
        <f t="shared" si="172"/>
        <v>14.3</v>
      </c>
      <c r="CM177" s="20">
        <f t="shared" si="173"/>
        <v>16.07</v>
      </c>
      <c r="CN177" s="2" cm="1">
        <f t="array" aca="1" ref="CN177" ca="1">MAX(_xlfn._xlws.FILTER(CG177:CM177,CG177:CM177&lt;BG177))</f>
        <v>5.4500000000000011</v>
      </c>
      <c r="CO177" s="2" cm="1">
        <f t="array" aca="1" ref="CO177" ca="1">MIN(_xlfn._xlws.FILTER($CG177:$CM177,$CG177:$CM177&gt;BG177))</f>
        <v>8.99</v>
      </c>
      <c r="CP177" s="19">
        <f t="shared" ca="1" si="183"/>
        <v>0.64954128440366943</v>
      </c>
      <c r="CQ177" s="23">
        <f t="shared" ca="1" si="184"/>
        <v>-0.32477064220183471</v>
      </c>
      <c r="CR177" s="23">
        <f t="shared" ca="1" si="185"/>
        <v>-0.21651376146788981</v>
      </c>
      <c r="CS177" s="23">
        <f t="shared" ca="1" si="186"/>
        <v>-0.12990825688073387</v>
      </c>
      <c r="CT177" s="23">
        <f t="shared" ca="1" si="187"/>
        <v>-7.2171253822629941E-2</v>
      </c>
      <c r="CU177" s="23">
        <f t="shared" ca="1" si="188"/>
        <v>-3.8208310847274669E-2</v>
      </c>
      <c r="CV177" s="23">
        <f t="shared" ca="1" si="189"/>
        <v>-1.968306922435362E-2</v>
      </c>
      <c r="CW177" s="23">
        <f t="shared" ca="1" si="190"/>
        <v>-9.9929428369795303E-3</v>
      </c>
      <c r="CX177" s="24">
        <f t="shared" ca="1" si="191"/>
        <v>9.9929428369795303E-3</v>
      </c>
      <c r="CY177" s="24">
        <f t="shared" ca="1" si="192"/>
        <v>1.968306922435362E-2</v>
      </c>
      <c r="CZ177" s="24">
        <f t="shared" ca="1" si="193"/>
        <v>3.8208310847274669E-2</v>
      </c>
      <c r="DA177" s="24">
        <f t="shared" ca="1" si="194"/>
        <v>7.2171253822629941E-2</v>
      </c>
      <c r="DB177" s="24">
        <f t="shared" ca="1" si="195"/>
        <v>0.12990825688073387</v>
      </c>
      <c r="DC177" s="24">
        <f t="shared" ca="1" si="196"/>
        <v>0.21651376146788981</v>
      </c>
      <c r="DD177" s="24">
        <f t="shared" ca="1" si="197"/>
        <v>0.32477064220183471</v>
      </c>
      <c r="DF177" s="19" cm="1">
        <f t="array" aca="1" ref="DF177" ca="1">MAX(_xlfn._xlws.FILTER(CQ177:DD177,CQ177:DD177&lt;BJ177))</f>
        <v>-9.9929428369795303E-3</v>
      </c>
      <c r="DG177" s="19" cm="1">
        <f t="array" aca="1" ref="DG177" ca="1">MIN(_xlfn._xlws.FILTER(CQ177:DD177,CQ177:DD177&gt;BJ177))</f>
        <v>9.9929428369795303E-3</v>
      </c>
      <c r="DH177" s="2" cm="1">
        <f t="array" aca="1" ref="DH177" ca="1">_FV(EE177,"Fechamento anterior",TRUE)</f>
        <v>7.19</v>
      </c>
      <c r="DI177" s="36">
        <f t="shared" ca="1" si="174"/>
        <v>0.43040985989643038</v>
      </c>
      <c r="DJ177" s="18">
        <f t="shared" ca="1" si="198"/>
        <v>7.1181507410021174</v>
      </c>
      <c r="DK177" s="18">
        <f t="shared" ca="1" si="199"/>
        <v>7.2618492589978834</v>
      </c>
      <c r="DL177" s="9"/>
      <c r="DM177" s="9"/>
      <c r="DN177" s="9"/>
      <c r="DO177" s="9"/>
      <c r="DP177" s="79">
        <v>2.5784079913381608E-2</v>
      </c>
      <c r="DQ177" s="79">
        <v>1.586078524739188E-2</v>
      </c>
      <c r="DR177" s="79">
        <v>1.9645717058966273E-2</v>
      </c>
      <c r="DS177" s="79">
        <f t="shared" ca="1" si="175"/>
        <v>1.9985885673959061E-2</v>
      </c>
      <c r="DT177" s="47"/>
      <c r="DU177" s="43">
        <f t="shared" si="176"/>
        <v>0.2351993835025934</v>
      </c>
      <c r="DV177" s="83">
        <f t="shared" ca="1" si="177"/>
        <v>1.5175999999999998</v>
      </c>
      <c r="DW177" s="83">
        <f t="shared" ca="1" si="178"/>
        <v>1.2305999999999999</v>
      </c>
      <c r="DX177" s="83">
        <f t="shared" ca="1" si="179"/>
        <v>0.28699999999999992</v>
      </c>
      <c r="DY177" s="67"/>
      <c r="DZ177" s="67"/>
      <c r="EA177" s="85"/>
      <c r="EB177" s="44">
        <v>232300</v>
      </c>
      <c r="EC177" s="44" cm="1">
        <f t="array" aca="1" ref="EC177" ca="1">_FV(EE177,"Volume")</f>
        <v>196200</v>
      </c>
      <c r="EE177" s="2" t="e" vm="179">
        <v>#VALUE!</v>
      </c>
      <c r="EG177" s="10" cm="1">
        <f t="array" aca="1" ref="EG177" ca="1">_FV(EE177,"Ações em circulação",TRUE)</f>
        <v>139297900</v>
      </c>
      <c r="EH177" s="21">
        <f>VLOOKUP(BH177,Fundamentus!A:U,5,FALSE)</f>
        <v>0.64400000000000002</v>
      </c>
      <c r="EI177" s="2">
        <f t="shared" ca="1" si="180"/>
        <v>1553041804.347826</v>
      </c>
      <c r="EJ177" s="20">
        <v>75742151.619565219</v>
      </c>
      <c r="EK177" s="20">
        <f t="shared" ca="1" si="181"/>
        <v>75322527.510869563</v>
      </c>
      <c r="EM177" s="40" t="str">
        <f>IF(VLOOKUP(BH177,Fundamentus!A:U,3,FALSE)&lt;15,"Bom",IF(VLOOKUP(BH177,Fundamentus!A:U,3,FALSE)&gt;15,"Ruim","n/a"))</f>
        <v>Bom</v>
      </c>
      <c r="EN177" s="36" t="str">
        <f>IF(VLOOKUP(BH177,Fundamentus!A:U,4,FALSE)&lt;1,"Baixo",IF(VLOOKUP(BH177,Fundamentus!A:U,4,FALSE)&lt;1.5,"Moderado",IF(VLOOKUP(BH177,Fundamentus!A:U,4,FALSE)&gt;1.5,"Alto","n/a")))</f>
        <v>Baixo</v>
      </c>
      <c r="EO177" s="20" t="str">
        <f>IF(VLOOKUP(BH177,Fundamentus!A:U,8,FALSE)&lt;0,"Risco elevado",IF(VLOOKUP(BH177,Fundamentus!A:U,8,FALSE)&lt;1,"Saudável",IF(VLOOKUP(BH177,Fundamentus!A:U,8,FALSE)&lt;3,"Estável",IF(VLOOKUP(BH177,Fundamentus!A:U,8,FALSE)&gt;3,"Alerta","n/a"))))</f>
        <v>Estável</v>
      </c>
      <c r="EP177" s="36" t="str">
        <f t="shared" si="182"/>
        <v>Ruim</v>
      </c>
      <c r="EQ177" s="20" t="str">
        <f>IF(VLOOKUP(BH177,Fundamentus!A:U,12,FALSE)&lt;2,"Subvalorizada",IF(VLOOKUP(BH177,Fundamentus!A:U,12,FALSE)&lt;6,"Muita barata",IF(VLOOKUP(BH177,Fundamentus!A:U,12,FALSE)&lt;6,"Barata",IF(VLOOKUP(BH177,Fundamentus!A:U,12,FALSE)&lt;8,"Atrativa",IF(VLOOKUP(BH177,Fundamentus!A:U,12,FALSE)&gt;8,"Supervalorizada","n/a")))))</f>
        <v>Supervalorizada</v>
      </c>
      <c r="ES177" s="20" t="str">
        <f>IF(VLOOKUP(BH177,Fundamentus!A:U,17,FALSE)&lt;0.1,"Fraco retorno",IF(VLOOKUP(BH177,Fundamentus!A:U,17,FALSE)&gt;0.1,"Bom retorno","n/a"))</f>
        <v>Fraco retorno</v>
      </c>
      <c r="ET177" s="20" t="str">
        <f>IF(VLOOKUP(BH177,Fundamentus!A:U,16,FALSE)&lt;0.1,"Ineficiente",IF(VLOOKUP(BH177,Fundamentus!A:U,16,FALSE)&gt;0.1,"Eficiente","n/a"))</f>
        <v>Ineficiente</v>
      </c>
      <c r="EU177" s="41" t="str">
        <f>IF(VLOOKUP(BH177,Fundamentus!A:U,16,FALSE)&lt;0.1,"Oper. Ineficiente",IF(VLOOKUP(BH177,Fundamentus!A:U,16,FALSE)&gt;0.1,"Oper.Eficiente","n/a"))</f>
        <v>Oper. Ineficiente</v>
      </c>
      <c r="EV177" s="42">
        <f>VLOOKUP(BH177,Fundamentus!A:U,14,FALSE)</f>
        <v>4.8500000000000001E-2</v>
      </c>
      <c r="EW177" s="20" t="str">
        <f>IF(VLOOKUP(BH177,Fundamentus!A:U,21,FALSE)&lt;0,"Negativo",IF(VLOOKUP(BH177,Fundamentus!A:U,21,FALSE)&lt;0.05,"Fraco",IF(VLOOKUP(BH177,Fundamentus!A:U,21,FALSE)&lt;0.1,"Bom",IF(VLOOKUP(BH177,Fundamentus!A:U,21,FALSE)&gt;0.1,"Muito bom","n/a"))))</f>
        <v>Negativo</v>
      </c>
      <c r="EY177" s="37" t="str">
        <f>IF(VLOOKUP(BH177,Fundamentus!A:U,15,FALSE)&gt;1,"Bom",IF(VLOOKUP(BH177,Fundamentus!A:U,15,FALSE)&lt;1,"Ruim","n/a"))</f>
        <v>Bom</v>
      </c>
      <c r="EZ177" s="20" t="str">
        <f>IF(VLOOKUP(BH177,Fundamentus!A:U,20,FALSE)&lt;0.5,"Baixa",IF(VLOOKUP(BH177,Fundamentus!A:U,20,FALSE)&lt;1,"Moderada",IF(VLOOKUP(BH177,Fundamentus!A:U,20,FALSE)&lt;2,"Alerta",IF(VLOOKUP(BH177,Fundamentus!A:U,20,FALSE)&gt;2,"Alta","n/a"))))</f>
        <v>Moderada</v>
      </c>
      <c r="FA177" s="10"/>
    </row>
    <row r="178" spans="1:157" s="2" customFormat="1" ht="11.25" hidden="1" x14ac:dyDescent="0.2">
      <c r="A178" s="4">
        <v>6.29</v>
      </c>
      <c r="B178" s="4">
        <v>6.2</v>
      </c>
      <c r="C178" s="4">
        <v>6.1</v>
      </c>
      <c r="D178" s="4">
        <v>6.11</v>
      </c>
      <c r="E178" s="4">
        <v>6.08</v>
      </c>
      <c r="F178" s="4">
        <v>5.73</v>
      </c>
      <c r="G178" s="4">
        <v>5.85</v>
      </c>
      <c r="H178" s="4">
        <v>6.15</v>
      </c>
      <c r="I178" s="4">
        <v>6.19</v>
      </c>
      <c r="J178" s="4">
        <v>6.21</v>
      </c>
      <c r="K178" s="4">
        <v>5.99</v>
      </c>
      <c r="L178" s="4">
        <v>5.92</v>
      </c>
      <c r="M178" s="4">
        <v>5.74</v>
      </c>
      <c r="N178" s="4">
        <v>5.89</v>
      </c>
      <c r="O178" s="4">
        <v>5.4</v>
      </c>
      <c r="P178" s="4">
        <v>5.81</v>
      </c>
      <c r="Q178" s="4">
        <v>5.41</v>
      </c>
      <c r="R178" s="4">
        <v>5.71</v>
      </c>
      <c r="S178" s="4">
        <v>5.75</v>
      </c>
      <c r="T178" s="4">
        <v>5.8</v>
      </c>
      <c r="U178" s="4">
        <v>5.44</v>
      </c>
      <c r="V178" s="4">
        <v>5.59</v>
      </c>
      <c r="W178" s="4">
        <v>5.48</v>
      </c>
      <c r="X178" s="4">
        <v>5.14</v>
      </c>
      <c r="Y178" s="4">
        <v>5.14</v>
      </c>
      <c r="Z178" s="4">
        <v>4.97</v>
      </c>
      <c r="AA178" s="4">
        <v>5.07</v>
      </c>
      <c r="AB178" s="4">
        <v>5.16</v>
      </c>
      <c r="AC178" s="4">
        <v>4.7300000000000004</v>
      </c>
      <c r="AD178" s="4">
        <v>4.68</v>
      </c>
      <c r="AE178" s="4">
        <v>4.59</v>
      </c>
      <c r="AF178" s="4">
        <v>4.1500000000000004</v>
      </c>
      <c r="AG178" s="4">
        <v>4.08</v>
      </c>
      <c r="AH178" s="4">
        <v>3.75</v>
      </c>
      <c r="AI178" s="4">
        <v>3.87</v>
      </c>
      <c r="AJ178" s="4">
        <v>3.77</v>
      </c>
      <c r="AK178" s="4">
        <v>3.86</v>
      </c>
      <c r="AL178" s="4">
        <v>3.45</v>
      </c>
      <c r="AM178" s="4">
        <v>3.52</v>
      </c>
      <c r="AN178" s="4">
        <v>4.3899999999999997</v>
      </c>
      <c r="AO178" s="4">
        <v>4.1500000000000004</v>
      </c>
      <c r="AP178" s="4">
        <v>4</v>
      </c>
      <c r="AQ178" s="4">
        <v>4.3</v>
      </c>
      <c r="AR178" s="4">
        <v>4.0599999999999996</v>
      </c>
      <c r="AS178" s="4">
        <v>4.5</v>
      </c>
      <c r="AT178" s="4">
        <v>4.8</v>
      </c>
      <c r="AU178" s="4">
        <v>4.2750000000000004</v>
      </c>
      <c r="AV178" s="4">
        <v>4.6500000000000004</v>
      </c>
      <c r="AW178" s="4">
        <v>4.3499999999999996</v>
      </c>
      <c r="AX178" s="4">
        <v>4.4400000000000004</v>
      </c>
      <c r="AY178" s="12">
        <v>4.7</v>
      </c>
      <c r="AZ178" s="12">
        <v>4.54</v>
      </c>
      <c r="BA178" s="12">
        <v>4.57</v>
      </c>
      <c r="BB178" s="18">
        <v>4.38</v>
      </c>
      <c r="BC178" s="63">
        <v>4.34</v>
      </c>
      <c r="BD178" s="63">
        <v>4.59</v>
      </c>
      <c r="BE178" s="63">
        <v>4.46</v>
      </c>
      <c r="BF178" s="63">
        <v>4.4800000000000004</v>
      </c>
      <c r="BG178" s="91" cm="1">
        <f t="array" aca="1" ref="BG178" ca="1">_FV(EE178,"Preço")</f>
        <v>4.34</v>
      </c>
      <c r="BH178" s="93" t="s">
        <v>175</v>
      </c>
      <c r="BI178" s="32" cm="1">
        <f t="array" aca="1" ref="BI178" ca="1">_FV(EE178,"Beta")</f>
        <v>0.85770000000000002</v>
      </c>
      <c r="BJ178" s="96" cm="1">
        <f t="array" aca="1" ref="BJ178" ca="1">_FV(EE178,"Variação (%)",TRUE)</f>
        <v>1.8779000000000001E-2</v>
      </c>
      <c r="BK178" s="49"/>
      <c r="BL178" s="49"/>
      <c r="BN178" s="32"/>
      <c r="BO178" s="20" cm="1">
        <f t="array" aca="1" ref="BO178" ca="1">_FV(EE178,"Baixo")</f>
        <v>4.2300000000000004</v>
      </c>
      <c r="BP178" s="20" cm="1">
        <f t="array" aca="1" ref="BP178" ca="1">_FV(EE178,"Alto")</f>
        <v>4.34</v>
      </c>
      <c r="BQ178" s="32"/>
      <c r="BR178" s="74">
        <f ca="1">SQRT(22.5*(BG178/VLOOKUP(BH178,Fundamentus!A:U,3,FALSE))*(BG178/VLOOKUP(BH178,Fundamentus!A:U,4,FALSE)))</f>
        <v>160.7529918547207</v>
      </c>
      <c r="BT178" s="73">
        <f t="shared" ca="1" si="158"/>
        <v>-3.1250000000000125E-2</v>
      </c>
      <c r="BU178" s="36">
        <f t="shared" si="159"/>
        <v>-0.29093799682034976</v>
      </c>
      <c r="BV178" s="8"/>
      <c r="BW178" s="72">
        <f t="shared" si="160"/>
        <v>3.45</v>
      </c>
      <c r="BX178" s="72">
        <f t="shared" si="161"/>
        <v>4.9783620689655166</v>
      </c>
      <c r="BY178" s="72">
        <f t="shared" si="162"/>
        <v>6.29</v>
      </c>
      <c r="BZ178" s="17"/>
      <c r="CA178" s="17"/>
      <c r="CB178" s="43">
        <f t="shared" si="163"/>
        <v>4.3661119487895412</v>
      </c>
      <c r="CC178" s="18">
        <f t="shared" si="164"/>
        <v>4.5435238987816433</v>
      </c>
      <c r="CD178" s="43">
        <f t="shared" si="165"/>
        <v>4.7209358487737454</v>
      </c>
      <c r="CE178" s="98">
        <f t="shared" ca="1" si="166"/>
        <v>-1.1471825815042549</v>
      </c>
      <c r="CF178" s="17"/>
      <c r="CG178" s="20">
        <f t="shared" si="167"/>
        <v>0.35000000000000053</v>
      </c>
      <c r="CH178" s="20">
        <f t="shared" si="168"/>
        <v>1.9000000000000004</v>
      </c>
      <c r="CI178" s="20">
        <f t="shared" si="169"/>
        <v>3.1900000000000004</v>
      </c>
      <c r="CJ178" s="49">
        <f t="shared" si="170"/>
        <v>4.74</v>
      </c>
      <c r="CK178" s="20">
        <f t="shared" si="171"/>
        <v>6.03</v>
      </c>
      <c r="CL178" s="20">
        <f t="shared" si="172"/>
        <v>7.58</v>
      </c>
      <c r="CM178" s="20">
        <f t="shared" si="173"/>
        <v>8.870000000000001</v>
      </c>
      <c r="CN178" s="2" cm="1">
        <f t="array" aca="1" ref="CN178" ca="1">MAX(_xlfn._xlws.FILTER(CG178:CM178,CG178:CM178&lt;BG178))</f>
        <v>3.1900000000000004</v>
      </c>
      <c r="CO178" s="2" cm="1">
        <f t="array" aca="1" ref="CO178" ca="1">MIN(_xlfn._xlws.FILTER($CG178:$CM178,$CG178:$CM178&gt;BG178))</f>
        <v>4.74</v>
      </c>
      <c r="CP178" s="19">
        <f t="shared" ref="CP178:CP185" ca="1" si="200">(CO178/CN178)-1</f>
        <v>0.48589341692789967</v>
      </c>
      <c r="CQ178" s="23">
        <f t="shared" ref="CQ178:CQ185" ca="1" si="201">-$CP178/2</f>
        <v>-0.24294670846394983</v>
      </c>
      <c r="CR178" s="23">
        <f t="shared" ref="CR178:CR185" ca="1" si="202">-$CP178/3</f>
        <v>-0.16196447230929989</v>
      </c>
      <c r="CS178" s="23">
        <f t="shared" ref="CS178:CS185" ca="1" si="203">-$CP178/5</f>
        <v>-9.7178683385579931E-2</v>
      </c>
      <c r="CT178" s="23">
        <f t="shared" ref="CT178:CT185" ca="1" si="204">-$CP178/9</f>
        <v>-5.3988157436433294E-2</v>
      </c>
      <c r="CU178" s="23">
        <f t="shared" ref="CU178:CU185" ca="1" si="205">-$CP178/17</f>
        <v>-2.8581965701641156E-2</v>
      </c>
      <c r="CV178" s="23">
        <f t="shared" ref="CV178:CV185" ca="1" si="206">-$CP178/33</f>
        <v>-1.4724042937209081E-2</v>
      </c>
      <c r="CW178" s="23">
        <f t="shared" ref="CW178:CW185" ca="1" si="207">-$CP178/65</f>
        <v>-7.4752833373523024E-3</v>
      </c>
      <c r="CX178" s="24">
        <f t="shared" ref="CX178:CX185" ca="1" si="208">-$CP178/65*-1</f>
        <v>7.4752833373523024E-3</v>
      </c>
      <c r="CY178" s="24">
        <f t="shared" ref="CY178:CY185" ca="1" si="209">-$CP178/33*-1</f>
        <v>1.4724042937209081E-2</v>
      </c>
      <c r="CZ178" s="24">
        <f t="shared" ref="CZ178:CZ185" ca="1" si="210">-$CP178/17*-1</f>
        <v>2.8581965701641156E-2</v>
      </c>
      <c r="DA178" s="24">
        <f t="shared" ref="DA178:DA185" ca="1" si="211">-$CP178/9*-1</f>
        <v>5.3988157436433294E-2</v>
      </c>
      <c r="DB178" s="24">
        <f t="shared" ref="DB178:DB185" ca="1" si="212">-$CP178/5*-1</f>
        <v>9.7178683385579931E-2</v>
      </c>
      <c r="DC178" s="24">
        <f t="shared" ref="DC178:DC185" ca="1" si="213">-$CP178/3*-1</f>
        <v>0.16196447230929989</v>
      </c>
      <c r="DD178" s="24">
        <f t="shared" ref="DD178:DD185" ca="1" si="214">-$CP178/2*-1</f>
        <v>0.24294670846394983</v>
      </c>
      <c r="DF178" s="19" cm="1">
        <f t="array" aca="1" ref="DF178" ca="1">MAX(_xlfn._xlws.FILTER(CQ178:DD178,CQ178:DD178&lt;BJ178))</f>
        <v>1.4724042937209081E-2</v>
      </c>
      <c r="DG178" s="19" cm="1">
        <f t="array" aca="1" ref="DG178" ca="1">MIN(_xlfn._xlws.FILTER(CQ178:DD178,CQ178:DD178&gt;BJ178))</f>
        <v>2.8581965701641156E-2</v>
      </c>
      <c r="DH178" s="2" cm="1">
        <f t="array" aca="1" ref="DH178" ca="1">_FV(EE178,"Fechamento anterior",TRUE)</f>
        <v>4.26</v>
      </c>
      <c r="DI178" s="36">
        <f t="shared" ca="1" si="174"/>
        <v>0.29263402998637333</v>
      </c>
      <c r="DJ178" s="18">
        <f t="shared" ref="DJ178:DJ185" ca="1" si="215">DH178+(DH178*DF178)</f>
        <v>4.3227244229125104</v>
      </c>
      <c r="DK178" s="18">
        <f t="shared" ref="DK178:DK185" ca="1" si="216">DH178+(DH178*DG178)</f>
        <v>4.3817591738889909</v>
      </c>
      <c r="DL178" s="9"/>
      <c r="DM178" s="9"/>
      <c r="DN178" s="9"/>
      <c r="DO178" s="9"/>
      <c r="DP178" s="81">
        <v>2.3271535388712485E-2</v>
      </c>
      <c r="DQ178" s="81">
        <v>6.1408807785296197E-3</v>
      </c>
      <c r="DR178" s="81">
        <v>6.1408807785296197E-3</v>
      </c>
      <c r="DS178" s="81">
        <f t="shared" ca="1" si="175"/>
        <v>1.3857922764432075E-2</v>
      </c>
      <c r="DT178" s="47"/>
      <c r="DU178" s="43">
        <f t="shared" si="176"/>
        <v>8.8705974996050888E-2</v>
      </c>
      <c r="DV178" s="83">
        <f t="shared" ca="1" si="177"/>
        <v>1.2838000000000001</v>
      </c>
      <c r="DW178" s="83">
        <f t="shared" ca="1" si="178"/>
        <v>-1.0202</v>
      </c>
      <c r="DX178" s="83">
        <f t="shared" ca="1" si="179"/>
        <v>2.3040000000000003</v>
      </c>
      <c r="DY178" s="67"/>
      <c r="DZ178" s="67"/>
      <c r="EA178" s="85"/>
      <c r="EB178" s="44">
        <v>500</v>
      </c>
      <c r="EC178" s="44" cm="1">
        <f t="array" aca="1" ref="EC178" ca="1">_FV(EE178,"Volume")</f>
        <v>1500</v>
      </c>
      <c r="EE178" s="2" t="e" vm="180">
        <v>#VALUE!</v>
      </c>
      <c r="EG178" s="10" cm="1">
        <f t="array" aca="1" ref="EG178" ca="1">_FV(EE178,"Ações em circulação",TRUE)</f>
        <v>7716400</v>
      </c>
      <c r="EH178" s="21">
        <f>VLOOKUP(BH178,Fundamentus!A:U,5,FALSE)</f>
        <v>3.5999999999999997E-2</v>
      </c>
      <c r="EI178" s="2">
        <f t="shared" ca="1" si="180"/>
        <v>930254888.88888896</v>
      </c>
      <c r="EJ178" s="20">
        <v>-40042971.733333334</v>
      </c>
      <c r="EK178" s="20">
        <f t="shared" ca="1" si="181"/>
        <v>-38791628.866666667</v>
      </c>
      <c r="EM178" s="50" t="str">
        <f>IF(VLOOKUP(BH178,Fundamentus!A:U,3,FALSE)&lt;15,"Bom",IF(VLOOKUP(BH178,Fundamentus!A:U,3,FALSE)&gt;15,"Ruim","n/a"))</f>
        <v>Bom</v>
      </c>
      <c r="EN178" s="51" t="str">
        <f>IF(VLOOKUP(BH178,Fundamentus!A:U,4,FALSE)&lt;1,"Baixo",IF(VLOOKUP(BH178,Fundamentus!A:U,4,FALSE)&lt;1.5,"Moderado",IF(VLOOKUP(BH178,Fundamentus!A:U,4,FALSE)&gt;1.5,"Alto","n/a")))</f>
        <v>Baixo</v>
      </c>
      <c r="EO178" s="52" t="str">
        <f>IF(VLOOKUP(BH178,Fundamentus!A:U,8,FALSE)&lt;0,"Risco elevado",IF(VLOOKUP(BH178,Fundamentus!A:U,8,FALSE)&lt;1,"Saudável",IF(VLOOKUP(BH178,Fundamentus!A:U,8,FALSE)&lt;3,"Estável",IF(VLOOKUP(BH178,Fundamentus!A:U,8,FALSE)&gt;3,"Alerta","n/a"))))</f>
        <v>Risco elevado</v>
      </c>
      <c r="EP178" s="51" t="str">
        <f t="shared" si="182"/>
        <v>Ruim</v>
      </c>
      <c r="EQ178" s="52" t="str">
        <f>IF(VLOOKUP(BH178,Fundamentus!A:U,12,FALSE)&lt;2,"Subvalorizada",IF(VLOOKUP(BH178,Fundamentus!A:U,12,FALSE)&lt;6,"Muita barata",IF(VLOOKUP(BH178,Fundamentus!A:U,12,FALSE)&lt;6,"Barata",IF(VLOOKUP(BH178,Fundamentus!A:U,12,FALSE)&lt;8,"Atrativa",IF(VLOOKUP(BH178,Fundamentus!A:U,12,FALSE)&gt;8,"Supervalorizada","n/a")))))</f>
        <v>Atrativa</v>
      </c>
      <c r="ES178" s="52" t="str">
        <f>IF(VLOOKUP(BH178,Fundamentus!A:U,17,FALSE)&lt;0.1,"Fraco retorno",IF(VLOOKUP(BH178,Fundamentus!A:U,17,FALSE)&gt;0.1,"Bom retorno","n/a"))</f>
        <v>Fraco retorno</v>
      </c>
      <c r="ET178" s="52" t="str">
        <f>IF(VLOOKUP(BH178,Fundamentus!A:U,16,FALSE)&lt;0.1,"Ineficiente",IF(VLOOKUP(BH178,Fundamentus!A:U,16,FALSE)&gt;0.1,"Eficiente","n/a"))</f>
        <v>Ineficiente</v>
      </c>
      <c r="EU178" s="53" t="str">
        <f>IF(VLOOKUP(BH178,Fundamentus!A:U,16,FALSE)&lt;0.1,"Oper. Ineficiente",IF(VLOOKUP(BH178,Fundamentus!A:U,16,FALSE)&gt;0.1,"Oper.Eficiente","n/a"))</f>
        <v>Oper. Ineficiente</v>
      </c>
      <c r="EV178" s="54">
        <f>VLOOKUP(BH178,Fundamentus!A:U,14,FALSE)</f>
        <v>-4.1700000000000001E-2</v>
      </c>
      <c r="EW178" s="52" t="str">
        <f>IF(VLOOKUP(BH178,Fundamentus!A:U,21,FALSE)&lt;0,"Negativo",IF(VLOOKUP(BH178,Fundamentus!A:U,21,FALSE)&lt;0.05,"Fraco",IF(VLOOKUP(BH178,Fundamentus!A:U,21,FALSE)&lt;0.1,"Bom",IF(VLOOKUP(BH178,Fundamentus!A:U,21,FALSE)&gt;0.1,"Muito bom","n/a"))))</f>
        <v>Muito bom</v>
      </c>
      <c r="EY178" s="55" t="str">
        <f>IF(VLOOKUP(BH178,Fundamentus!A:U,15,FALSE)&gt;1,"Bom",IF(VLOOKUP(BH178,Fundamentus!A:U,15,FALSE)&lt;1,"Ruim","n/a"))</f>
        <v>Ruim</v>
      </c>
      <c r="EZ178" s="52" t="str">
        <f>IF(VLOOKUP(BH178,Fundamentus!A:U,20,FALSE)&lt;0.5,"Baixa",IF(VLOOKUP(BH178,Fundamentus!A:U,20,FALSE)&lt;1,"Moderada",IF(VLOOKUP(BH178,Fundamentus!A:U,20,FALSE)&lt;2,"Alerta",IF(VLOOKUP(BH178,Fundamentus!A:U,20,FALSE)&gt;2,"Alta","n/a"))))</f>
        <v>Baixa</v>
      </c>
      <c r="FA178" s="10"/>
    </row>
    <row r="179" spans="1:157" s="2" customFormat="1" ht="11.25" x14ac:dyDescent="0.2">
      <c r="A179" s="4">
        <v>9.32</v>
      </c>
      <c r="B179" s="4">
        <v>9.27</v>
      </c>
      <c r="C179" s="4">
        <v>8.91</v>
      </c>
      <c r="D179" s="4">
        <v>8.8800000000000008</v>
      </c>
      <c r="E179" s="4">
        <v>8.7899999999999991</v>
      </c>
      <c r="F179" s="4">
        <v>8.41</v>
      </c>
      <c r="G179" s="4">
        <v>7.94</v>
      </c>
      <c r="H179" s="4">
        <v>8.0399999999999991</v>
      </c>
      <c r="I179" s="4">
        <v>8.59</v>
      </c>
      <c r="J179" s="4">
        <v>8.8800000000000008</v>
      </c>
      <c r="K179" s="4">
        <v>9.41</v>
      </c>
      <c r="L179" s="4">
        <v>9.18</v>
      </c>
      <c r="M179" s="4">
        <v>8.99</v>
      </c>
      <c r="N179" s="4">
        <v>9.02</v>
      </c>
      <c r="O179" s="4">
        <v>8.6</v>
      </c>
      <c r="P179" s="4">
        <v>8.5500000000000007</v>
      </c>
      <c r="Q179" s="4">
        <v>8.75</v>
      </c>
      <c r="R179" s="4">
        <v>8.3000000000000007</v>
      </c>
      <c r="S179" s="4">
        <v>8.51</v>
      </c>
      <c r="T179" s="4">
        <v>8.74</v>
      </c>
      <c r="U179" s="4">
        <v>8.2899999999999991</v>
      </c>
      <c r="V179" s="4">
        <v>8</v>
      </c>
      <c r="W179" s="4">
        <v>8.08</v>
      </c>
      <c r="X179" s="4">
        <v>8.1</v>
      </c>
      <c r="Y179" s="4">
        <v>8.0299999999999994</v>
      </c>
      <c r="Z179" s="4">
        <v>8.1300000000000008</v>
      </c>
      <c r="AA179" s="4">
        <v>8.2100000000000009</v>
      </c>
      <c r="AB179" s="4">
        <v>8.85</v>
      </c>
      <c r="AC179" s="4">
        <v>9.17</v>
      </c>
      <c r="AD179" s="4">
        <v>8.44</v>
      </c>
      <c r="AE179" s="4">
        <v>8.06</v>
      </c>
      <c r="AF179" s="4">
        <v>8</v>
      </c>
      <c r="AG179" s="4">
        <v>7.91</v>
      </c>
      <c r="AH179" s="4">
        <v>7.58</v>
      </c>
      <c r="AI179" s="4">
        <v>7.55</v>
      </c>
      <c r="AJ179" s="4">
        <v>7.13</v>
      </c>
      <c r="AK179" s="4">
        <v>7.06</v>
      </c>
      <c r="AL179" s="4">
        <v>7.24</v>
      </c>
      <c r="AM179" s="4">
        <v>7.87</v>
      </c>
      <c r="AN179" s="4">
        <v>8.68</v>
      </c>
      <c r="AO179" s="4">
        <v>8.9600000000000009</v>
      </c>
      <c r="AP179" s="4">
        <v>8.85</v>
      </c>
      <c r="AQ179" s="4">
        <v>8.7799999999999994</v>
      </c>
      <c r="AR179" s="4">
        <v>8.6</v>
      </c>
      <c r="AS179" s="4">
        <v>9.1</v>
      </c>
      <c r="AT179" s="4">
        <v>9.4700000000000006</v>
      </c>
      <c r="AU179" s="4">
        <v>9.58</v>
      </c>
      <c r="AV179" s="4">
        <v>9.5299999999999994</v>
      </c>
      <c r="AW179" s="4">
        <v>9.33</v>
      </c>
      <c r="AX179" s="4">
        <v>9.5399999999999991</v>
      </c>
      <c r="AY179" s="12">
        <v>9.6999999999999993</v>
      </c>
      <c r="AZ179" s="12">
        <v>10.050000000000001</v>
      </c>
      <c r="BA179" s="12">
        <v>10.44</v>
      </c>
      <c r="BB179" s="18">
        <v>10.89</v>
      </c>
      <c r="BC179" s="63">
        <v>10.99</v>
      </c>
      <c r="BD179" s="63">
        <v>11.25</v>
      </c>
      <c r="BE179" s="63">
        <v>11.6</v>
      </c>
      <c r="BF179" s="63">
        <v>11.92</v>
      </c>
      <c r="BG179" s="91" cm="1">
        <f t="array" aca="1" ref="BG179" ca="1">_FV(EE179,"Preço")</f>
        <v>11.84</v>
      </c>
      <c r="BH179" s="90" t="s">
        <v>89</v>
      </c>
      <c r="BI179" s="32" cm="1">
        <f t="array" aca="1" ref="BI179" ca="1">_FV(EE179,"Beta")</f>
        <v>1.1639999999999999</v>
      </c>
      <c r="BJ179" s="96" cm="1">
        <f t="array" aca="1" ref="BJ179" ca="1">_FV(EE179,"Variação (%)",TRUE)</f>
        <v>-5.0419999999999996E-3</v>
      </c>
      <c r="BK179" s="18">
        <v>11.77</v>
      </c>
      <c r="BL179" s="18">
        <v>5101.92</v>
      </c>
      <c r="BN179" s="32"/>
      <c r="BO179" s="20" cm="1">
        <f t="array" aca="1" ref="BO179" ca="1">_FV(EE179,"Baixo")</f>
        <v>11.73</v>
      </c>
      <c r="BP179" s="20" cm="1">
        <f t="array" aca="1" ref="BP179" ca="1">_FV(EE179,"Alto")</f>
        <v>11.91</v>
      </c>
      <c r="BQ179" s="32"/>
      <c r="BR179" s="20">
        <f ca="1">SQRT(22.5*(BG179/VLOOKUP(BH179,Fundamentus!A:U,3,FALSE))*(BG179/VLOOKUP(BH179,Fundamentus!A:U,4,FALSE)))</f>
        <v>17.748467243220503</v>
      </c>
      <c r="BT179" s="73">
        <f t="shared" ca="1" si="158"/>
        <v>-6.7114093959731603E-3</v>
      </c>
      <c r="BU179" s="36">
        <f t="shared" si="159"/>
        <v>0.24463519313304713</v>
      </c>
      <c r="BV179" s="8"/>
      <c r="BW179" s="72">
        <f t="shared" si="160"/>
        <v>7.06</v>
      </c>
      <c r="BX179" s="72">
        <f t="shared" si="161"/>
        <v>8.8627586206896574</v>
      </c>
      <c r="BY179" s="72">
        <f t="shared" si="162"/>
        <v>11.92</v>
      </c>
      <c r="BZ179" s="17"/>
      <c r="CA179" s="17"/>
      <c r="CB179" s="46">
        <f t="shared" si="163"/>
        <v>11.497959074501468</v>
      </c>
      <c r="CC179" s="18">
        <f t="shared" si="164"/>
        <v>12.201237113402158</v>
      </c>
      <c r="CD179" s="46">
        <f t="shared" si="165"/>
        <v>12.904515152302848</v>
      </c>
      <c r="CE179" s="75">
        <f t="shared" ca="1" si="166"/>
        <v>-0.51364765202510232</v>
      </c>
      <c r="CF179" s="17"/>
      <c r="CG179" s="20">
        <f t="shared" si="167"/>
        <v>3.8199999999999976</v>
      </c>
      <c r="CH179" s="20">
        <f t="shared" si="168"/>
        <v>5.4399999999999986</v>
      </c>
      <c r="CI179" s="20">
        <f t="shared" si="169"/>
        <v>8.6799999999999979</v>
      </c>
      <c r="CJ179" s="49">
        <f t="shared" si="170"/>
        <v>10.299999999999999</v>
      </c>
      <c r="CK179" s="20">
        <f t="shared" si="171"/>
        <v>13.54</v>
      </c>
      <c r="CL179" s="20">
        <f t="shared" si="172"/>
        <v>15.16</v>
      </c>
      <c r="CM179" s="20">
        <f t="shared" si="173"/>
        <v>18.399999999999999</v>
      </c>
      <c r="CN179" s="2" cm="1">
        <f t="array" aca="1" ref="CN179" ca="1">MAX(_xlfn._xlws.FILTER(CG179:CM179,CG179:CM179&lt;BG179))</f>
        <v>10.299999999999999</v>
      </c>
      <c r="CO179" s="2" cm="1">
        <f t="array" aca="1" ref="CO179" ca="1">MIN(_xlfn._xlws.FILTER($CG179:$CM179,$CG179:$CM179&gt;BG179))</f>
        <v>13.54</v>
      </c>
      <c r="CP179" s="19">
        <f t="shared" ca="1" si="200"/>
        <v>0.31456310679611654</v>
      </c>
      <c r="CQ179" s="23">
        <f t="shared" ca="1" si="201"/>
        <v>-0.15728155339805827</v>
      </c>
      <c r="CR179" s="23">
        <f t="shared" ca="1" si="202"/>
        <v>-0.10485436893203885</v>
      </c>
      <c r="CS179" s="23">
        <f t="shared" ca="1" si="203"/>
        <v>-6.2912621359223306E-2</v>
      </c>
      <c r="CT179" s="23">
        <f t="shared" ca="1" si="204"/>
        <v>-3.4951456310679613E-2</v>
      </c>
      <c r="CU179" s="23">
        <f t="shared" ca="1" si="205"/>
        <v>-1.8503712164477444E-2</v>
      </c>
      <c r="CV179" s="23">
        <f t="shared" ca="1" si="206"/>
        <v>-9.5322153574580772E-3</v>
      </c>
      <c r="CW179" s="23">
        <f t="shared" ca="1" si="207"/>
        <v>-4.839432412247947E-3</v>
      </c>
      <c r="CX179" s="24">
        <f t="shared" ca="1" si="208"/>
        <v>4.839432412247947E-3</v>
      </c>
      <c r="CY179" s="24">
        <f t="shared" ca="1" si="209"/>
        <v>9.5322153574580772E-3</v>
      </c>
      <c r="CZ179" s="24">
        <f t="shared" ca="1" si="210"/>
        <v>1.8503712164477444E-2</v>
      </c>
      <c r="DA179" s="24">
        <f t="shared" ca="1" si="211"/>
        <v>3.4951456310679613E-2</v>
      </c>
      <c r="DB179" s="24">
        <f t="shared" ca="1" si="212"/>
        <v>6.2912621359223306E-2</v>
      </c>
      <c r="DC179" s="24">
        <f t="shared" ca="1" si="213"/>
        <v>0.10485436893203885</v>
      </c>
      <c r="DD179" s="24">
        <f t="shared" ca="1" si="214"/>
        <v>0.15728155339805827</v>
      </c>
      <c r="DF179" s="29" cm="1">
        <f t="array" aca="1" ref="DF179" ca="1">MAX(_xlfn._xlws.FILTER(CQ179:DD179,CQ179:DD179&lt;BJ179))</f>
        <v>-9.5322153574580772E-3</v>
      </c>
      <c r="DG179" s="29" cm="1">
        <f t="array" aca="1" ref="DG179" ca="1">MIN(_xlfn._xlws.FILTER(CQ179:DD179,CQ179:DD179&gt;BJ179))</f>
        <v>-4.839432412247947E-3</v>
      </c>
      <c r="DH179" s="2" cm="1">
        <f t="array" aca="1" ref="DH179" ca="1">_FV(EE179,"Fechamento anterior",TRUE)</f>
        <v>11.9</v>
      </c>
      <c r="DI179" s="36">
        <f t="shared" ca="1" si="174"/>
        <v>0.95683064892623526</v>
      </c>
      <c r="DJ179" s="18">
        <f t="shared" ca="1" si="215"/>
        <v>11.786566637246249</v>
      </c>
      <c r="DK179" s="18">
        <f t="shared" ca="1" si="216"/>
        <v>11.842410754294249</v>
      </c>
      <c r="DL179" s="9"/>
      <c r="DM179" s="9"/>
      <c r="DN179" s="9"/>
      <c r="DO179" s="9"/>
      <c r="DP179" s="79">
        <v>2.010311370925183E-2</v>
      </c>
      <c r="DQ179" s="79">
        <v>1.0253056560941413E-2</v>
      </c>
      <c r="DR179" s="79">
        <v>3.1420489918513607E-3</v>
      </c>
      <c r="DS179" s="79">
        <f t="shared" ca="1" si="175"/>
        <v>4.6927829452101302E-3</v>
      </c>
      <c r="DT179" s="47"/>
      <c r="DU179" s="43">
        <f t="shared" si="176"/>
        <v>0.3516390194503447</v>
      </c>
      <c r="DV179" s="83">
        <f t="shared" ca="1" si="177"/>
        <v>1.5900999999999998</v>
      </c>
      <c r="DW179" s="83">
        <f t="shared" ca="1" si="178"/>
        <v>1.6681999999999999</v>
      </c>
      <c r="DX179" s="84">
        <f t="shared" ca="1" si="179"/>
        <v>-7.8100000000000058E-2</v>
      </c>
      <c r="DY179" s="67"/>
      <c r="DZ179" s="67"/>
      <c r="EA179" s="44" cm="1">
        <f t="array" aca="1" ref="EA179" ca="1">_FV(EE179,"Média de volume",TRUE)</f>
        <v>617700</v>
      </c>
      <c r="EB179" s="44">
        <v>524700</v>
      </c>
      <c r="EC179" s="44" cm="1">
        <f t="array" aca="1" ref="EC179" ca="1">_FV(EE179,"Volume")</f>
        <v>326400</v>
      </c>
      <c r="EE179" s="2" t="e" vm="181">
        <v>#VALUE!</v>
      </c>
      <c r="EG179" s="10" cm="1">
        <f t="array" aca="1" ref="EG179" ca="1">_FV(EE179,"Ações em circulação",TRUE)</f>
        <v>195434400</v>
      </c>
      <c r="EH179" s="21">
        <f>VLOOKUP(BH179,Fundamentus!A:U,5,FALSE)</f>
        <v>1.452</v>
      </c>
      <c r="EI179" s="2">
        <f t="shared" ca="1" si="180"/>
        <v>1593624859.5041323</v>
      </c>
      <c r="EJ179" s="20">
        <v>418104710.26776862</v>
      </c>
      <c r="EK179" s="20">
        <f t="shared" ca="1" si="181"/>
        <v>415298638.38677686</v>
      </c>
      <c r="EM179" s="40" t="str">
        <f>IF(VLOOKUP(BH179,Fundamentus!A:U,3,FALSE)&lt;15,"Bom",IF(VLOOKUP(BH179,Fundamentus!A:U,3,FALSE)&gt;15,"Ruim","n/a"))</f>
        <v>Bom</v>
      </c>
      <c r="EN179" s="36" t="str">
        <f>IF(VLOOKUP(BH179,Fundamentus!A:U,4,FALSE)&lt;1,"Baixo",IF(VLOOKUP(BH179,Fundamentus!A:U,4,FALSE)&lt;1.5,"Moderado",IF(VLOOKUP(BH179,Fundamentus!A:U,4,FALSE)&gt;1.5,"Alto","n/a")))</f>
        <v>Alto</v>
      </c>
      <c r="EO179" s="20" t="str">
        <f>IF(VLOOKUP(BH179,Fundamentus!A:U,8,FALSE)&lt;0,"Risco elevado",IF(VLOOKUP(BH179,Fundamentus!A:U,8,FALSE)&lt;1,"Saudável",IF(VLOOKUP(BH179,Fundamentus!A:U,8,FALSE)&lt;3,"Estável",IF(VLOOKUP(BH179,Fundamentus!A:U,8,FALSE)&gt;3,"Alerta","n/a"))))</f>
        <v>Estável</v>
      </c>
      <c r="EP179" s="36" t="str">
        <f t="shared" si="182"/>
        <v>Bom</v>
      </c>
      <c r="EQ179" s="20" t="str">
        <f>IF(VLOOKUP(BH179,Fundamentus!A:U,12,FALSE)&lt;2,"Subvalorizada",IF(VLOOKUP(BH179,Fundamentus!A:U,12,FALSE)&lt;6,"Muita barata",IF(VLOOKUP(BH179,Fundamentus!A:U,12,FALSE)&lt;6,"Barata",IF(VLOOKUP(BH179,Fundamentus!A:U,12,FALSE)&lt;8,"Atrativa",IF(VLOOKUP(BH179,Fundamentus!A:U,12,FALSE)&gt;8,"Supervalorizada","n/a")))))</f>
        <v>Atrativa</v>
      </c>
      <c r="ES179" s="20" t="str">
        <f>IF(VLOOKUP(BH179,Fundamentus!A:U,17,FALSE)&lt;0.1,"Fraco retorno",IF(VLOOKUP(BH179,Fundamentus!A:U,17,FALSE)&gt;0.1,"Bom retorno","n/a"))</f>
        <v>Bom retorno</v>
      </c>
      <c r="ET179" s="20" t="str">
        <f>IF(VLOOKUP(BH179,Fundamentus!A:U,16,FALSE)&lt;0.1,"Ineficiente",IF(VLOOKUP(BH179,Fundamentus!A:U,16,FALSE)&gt;0.1,"Eficiente","n/a"))</f>
        <v>Eficiente</v>
      </c>
      <c r="EU179" s="41" t="str">
        <f>IF(VLOOKUP(BH179,Fundamentus!A:U,16,FALSE)&lt;0.1,"Oper. Ineficiente",IF(VLOOKUP(BH179,Fundamentus!A:U,16,FALSE)&gt;0.1,"Oper.Eficiente","n/a"))</f>
        <v>Oper.Eficiente</v>
      </c>
      <c r="EV179" s="42">
        <f>VLOOKUP(BH179,Fundamentus!A:U,14,FALSE)</f>
        <v>0.2606</v>
      </c>
      <c r="EW179" s="20" t="str">
        <f>IF(VLOOKUP(BH179,Fundamentus!A:U,21,FALSE)&lt;0,"Negativo",IF(VLOOKUP(BH179,Fundamentus!A:U,21,FALSE)&lt;0.05,"Fraco",IF(VLOOKUP(BH179,Fundamentus!A:U,21,FALSE)&lt;0.1,"Bom",IF(VLOOKUP(BH179,Fundamentus!A:U,21,FALSE)&gt;0.1,"Muito bom","n/a"))))</f>
        <v>Muito bom</v>
      </c>
      <c r="EY179" s="37" t="str">
        <f>IF(VLOOKUP(BH179,Fundamentus!A:U,15,FALSE)&gt;1,"Bom",IF(VLOOKUP(BH179,Fundamentus!A:U,15,FALSE)&lt;1,"Ruim","n/a"))</f>
        <v>Bom</v>
      </c>
      <c r="EZ179" s="20" t="str">
        <f>IF(VLOOKUP(BH179,Fundamentus!A:U,20,FALSE)&lt;0.5,"Baixa",IF(VLOOKUP(BH179,Fundamentus!A:U,20,FALSE)&lt;1,"Moderada",IF(VLOOKUP(BH179,Fundamentus!A:U,20,FALSE)&lt;2,"Alerta",IF(VLOOKUP(BH179,Fundamentus!A:U,20,FALSE)&gt;2,"Alta","n/a"))))</f>
        <v>Baixa</v>
      </c>
      <c r="FA179" s="10"/>
    </row>
    <row r="180" spans="1:157" s="2" customFormat="1" ht="11.25" hidden="1" x14ac:dyDescent="0.2">
      <c r="A180" s="4">
        <v>10.1</v>
      </c>
      <c r="B180" s="4">
        <v>9.7799999999999994</v>
      </c>
      <c r="C180" s="4">
        <v>10.25</v>
      </c>
      <c r="D180" s="4">
        <v>10.23</v>
      </c>
      <c r="E180" s="4">
        <v>9.51</v>
      </c>
      <c r="F180" s="4">
        <v>9.52</v>
      </c>
      <c r="G180" s="4">
        <v>9.2799999999999994</v>
      </c>
      <c r="H180" s="4">
        <v>9.11</v>
      </c>
      <c r="I180" s="4">
        <v>9.9499999999999993</v>
      </c>
      <c r="J180" s="4">
        <v>9.24</v>
      </c>
      <c r="K180" s="4">
        <v>9.09</v>
      </c>
      <c r="L180" s="4">
        <v>9.1300000000000008</v>
      </c>
      <c r="M180" s="4">
        <v>8.32</v>
      </c>
      <c r="N180" s="4">
        <v>8.24</v>
      </c>
      <c r="O180" s="4">
        <v>8</v>
      </c>
      <c r="P180" s="4">
        <v>7.74</v>
      </c>
      <c r="Q180" s="4">
        <v>7.74</v>
      </c>
      <c r="R180" s="4">
        <v>7.84</v>
      </c>
      <c r="S180" s="4">
        <v>7.72</v>
      </c>
      <c r="T180" s="4">
        <v>7.45</v>
      </c>
      <c r="U180" s="4">
        <v>7.3</v>
      </c>
      <c r="V180" s="4">
        <v>7</v>
      </c>
      <c r="W180" s="4">
        <v>6.95</v>
      </c>
      <c r="X180" s="4">
        <v>6.74</v>
      </c>
      <c r="Y180" s="4">
        <v>6.56</v>
      </c>
      <c r="Z180" s="4">
        <v>6.49</v>
      </c>
      <c r="AA180" s="4">
        <v>6.3</v>
      </c>
      <c r="AB180" s="4">
        <v>6.33</v>
      </c>
      <c r="AC180" s="4">
        <v>6.01</v>
      </c>
      <c r="AD180" s="4">
        <v>6.23</v>
      </c>
      <c r="AE180" s="4">
        <v>6.1</v>
      </c>
      <c r="AF180" s="4">
        <v>5.94</v>
      </c>
      <c r="AG180" s="4">
        <v>5.94</v>
      </c>
      <c r="AH180" s="4">
        <v>5.81</v>
      </c>
      <c r="AI180" s="4">
        <v>5.87</v>
      </c>
      <c r="AJ180" s="4">
        <v>5.86</v>
      </c>
      <c r="AK180" s="4">
        <v>5.94</v>
      </c>
      <c r="AL180" s="4">
        <v>5.99</v>
      </c>
      <c r="AM180" s="4">
        <v>5.86</v>
      </c>
      <c r="AN180" s="4">
        <v>5.86</v>
      </c>
      <c r="AO180" s="4">
        <v>6.41</v>
      </c>
      <c r="AP180" s="4">
        <v>7.14</v>
      </c>
      <c r="AQ180" s="4">
        <v>6.34</v>
      </c>
      <c r="AR180" s="4">
        <v>6.5</v>
      </c>
      <c r="AS180" s="4">
        <v>6.73</v>
      </c>
      <c r="AT180" s="4">
        <v>7.01</v>
      </c>
      <c r="AU180" s="4">
        <v>6.9849999999999994</v>
      </c>
      <c r="AV180" s="4">
        <v>6.4</v>
      </c>
      <c r="AW180" s="4">
        <v>7.14</v>
      </c>
      <c r="AX180" s="4">
        <v>7.4</v>
      </c>
      <c r="AY180" s="12">
        <v>7.5</v>
      </c>
      <c r="AZ180" s="12">
        <v>7.19</v>
      </c>
      <c r="BA180" s="12">
        <v>6.95</v>
      </c>
      <c r="BB180" s="18">
        <v>6.95</v>
      </c>
      <c r="BC180" s="63">
        <v>7.95</v>
      </c>
      <c r="BD180" s="63">
        <v>8.98</v>
      </c>
      <c r="BE180" s="63">
        <v>8.9499999999999993</v>
      </c>
      <c r="BF180" s="63">
        <v>8.6999999999999993</v>
      </c>
      <c r="BG180" s="91" cm="1">
        <f t="array" aca="1" ref="BG180" ca="1">_FV(EE180,"Preço")</f>
        <v>9.18</v>
      </c>
      <c r="BH180" s="93" t="s">
        <v>177</v>
      </c>
      <c r="BI180" s="32" cm="1">
        <f t="array" aca="1" ref="BI180" ca="1">_FV(EE180,"Beta")</f>
        <v>0.95469999999999999</v>
      </c>
      <c r="BJ180" s="96" cm="1">
        <f t="array" aca="1" ref="BJ180" ca="1">_FV(EE180,"Variação (%)",TRUE)</f>
        <v>3.9638E-2</v>
      </c>
      <c r="BK180" s="49"/>
      <c r="BL180" s="49"/>
      <c r="BN180" s="32"/>
      <c r="BO180" s="20" cm="1">
        <f t="array" aca="1" ref="BO180" ca="1">_FV(EE180,"Baixo")</f>
        <v>8.92</v>
      </c>
      <c r="BP180" s="20" cm="1">
        <f t="array" aca="1" ref="BP180" ca="1">_FV(EE180,"Alto")</f>
        <v>9.19</v>
      </c>
      <c r="BQ180" s="32"/>
      <c r="BR180" s="74">
        <f ca="1">SQRT(22.5*(BG180/VLOOKUP(BH180,Fundamentus!A:U,3,FALSE))*(BG180/VLOOKUP(BH180,Fundamentus!A:U,4,FALSE)))</f>
        <v>6.5447477712189057</v>
      </c>
      <c r="BT180" s="73">
        <f t="shared" ca="1" si="158"/>
        <v>5.5172413793103503E-2</v>
      </c>
      <c r="BU180" s="36">
        <f t="shared" si="159"/>
        <v>-0.11386138613861391</v>
      </c>
      <c r="BV180" s="8"/>
      <c r="BW180" s="72">
        <f t="shared" si="160"/>
        <v>5.81</v>
      </c>
      <c r="BX180" s="72">
        <f t="shared" si="161"/>
        <v>7.4921551724137938</v>
      </c>
      <c r="BY180" s="72">
        <f t="shared" si="162"/>
        <v>10.25</v>
      </c>
      <c r="BZ180" s="17"/>
      <c r="CA180" s="17"/>
      <c r="CB180" s="43">
        <f t="shared" si="163"/>
        <v>8.3768310127829526</v>
      </c>
      <c r="CC180" s="18">
        <f t="shared" si="164"/>
        <v>9.2082755388939859</v>
      </c>
      <c r="CD180" s="43">
        <f t="shared" si="165"/>
        <v>10.039720065005019</v>
      </c>
      <c r="CE180" s="98">
        <f t="shared" ca="1" si="166"/>
        <v>-3.4007727522413399E-2</v>
      </c>
      <c r="CF180" s="17"/>
      <c r="CG180" s="20">
        <f t="shared" si="167"/>
        <v>1.8166666666666638</v>
      </c>
      <c r="CH180" s="20">
        <f t="shared" si="168"/>
        <v>3.8133333333333317</v>
      </c>
      <c r="CI180" s="20">
        <f t="shared" si="169"/>
        <v>6.2566666666666642</v>
      </c>
      <c r="CJ180" s="49">
        <f t="shared" si="170"/>
        <v>8.2533333333333321</v>
      </c>
      <c r="CK180" s="20">
        <f t="shared" si="171"/>
        <v>10.696666666666665</v>
      </c>
      <c r="CL180" s="20">
        <f t="shared" si="172"/>
        <v>12.693333333333332</v>
      </c>
      <c r="CM180" s="20">
        <f t="shared" si="173"/>
        <v>15.136666666666665</v>
      </c>
      <c r="CN180" s="2" cm="1">
        <f t="array" aca="1" ref="CN180" ca="1">MAX(_xlfn._xlws.FILTER(CG180:CM180,CG180:CM180&lt;BG180))</f>
        <v>8.2533333333333321</v>
      </c>
      <c r="CO180" s="2" cm="1">
        <f t="array" aca="1" ref="CO180" ca="1">MIN(_xlfn._xlws.FILTER($CG180:$CM180,$CG180:$CM180&gt;BG180))</f>
        <v>10.696666666666665</v>
      </c>
      <c r="CP180" s="19">
        <f t="shared" ca="1" si="200"/>
        <v>0.29604200323101781</v>
      </c>
      <c r="CQ180" s="23">
        <f t="shared" ca="1" si="201"/>
        <v>-0.14802100161550891</v>
      </c>
      <c r="CR180" s="23">
        <f t="shared" ca="1" si="202"/>
        <v>-9.8680667743672609E-2</v>
      </c>
      <c r="CS180" s="23">
        <f t="shared" ca="1" si="203"/>
        <v>-5.9208400646203564E-2</v>
      </c>
      <c r="CT180" s="23">
        <f t="shared" ca="1" si="204"/>
        <v>-3.2893555914557532E-2</v>
      </c>
      <c r="CU180" s="23">
        <f t="shared" ca="1" si="205"/>
        <v>-1.7414235484177518E-2</v>
      </c>
      <c r="CV180" s="23">
        <f t="shared" ca="1" si="206"/>
        <v>-8.9709697948793278E-3</v>
      </c>
      <c r="CW180" s="23">
        <f t="shared" ca="1" si="207"/>
        <v>-4.5544923574002737E-3</v>
      </c>
      <c r="CX180" s="24">
        <f t="shared" ca="1" si="208"/>
        <v>4.5544923574002737E-3</v>
      </c>
      <c r="CY180" s="24">
        <f t="shared" ca="1" si="209"/>
        <v>8.9709697948793278E-3</v>
      </c>
      <c r="CZ180" s="24">
        <f t="shared" ca="1" si="210"/>
        <v>1.7414235484177518E-2</v>
      </c>
      <c r="DA180" s="24">
        <f t="shared" ca="1" si="211"/>
        <v>3.2893555914557532E-2</v>
      </c>
      <c r="DB180" s="24">
        <f t="shared" ca="1" si="212"/>
        <v>5.9208400646203564E-2</v>
      </c>
      <c r="DC180" s="24">
        <f t="shared" ca="1" si="213"/>
        <v>9.8680667743672609E-2</v>
      </c>
      <c r="DD180" s="24">
        <f t="shared" ca="1" si="214"/>
        <v>0.14802100161550891</v>
      </c>
      <c r="DF180" s="19" cm="1">
        <f t="array" aca="1" ref="DF180" ca="1">MAX(_xlfn._xlws.FILTER(CQ180:DD180,CQ180:DD180&lt;BJ180))</f>
        <v>3.2893555914557532E-2</v>
      </c>
      <c r="DG180" s="19" cm="1">
        <f t="array" aca="1" ref="DG180" ca="1">MIN(_xlfn._xlws.FILTER(CQ180:DD180,CQ180:DD180&gt;BJ180))</f>
        <v>5.9208400646203564E-2</v>
      </c>
      <c r="DH180" s="2" cm="1">
        <f t="array" aca="1" ref="DH180" ca="1">_FV(EE180,"Fechamento anterior",TRUE)</f>
        <v>8.83</v>
      </c>
      <c r="DI180" s="36">
        <f t="shared" ca="1" si="174"/>
        <v>0.25628284142333574</v>
      </c>
      <c r="DJ180" s="18">
        <f t="shared" ca="1" si="215"/>
        <v>9.1204500987255432</v>
      </c>
      <c r="DK180" s="18">
        <f t="shared" ca="1" si="216"/>
        <v>9.3528101777059778</v>
      </c>
      <c r="DL180" s="9"/>
      <c r="DM180" s="9"/>
      <c r="DN180" s="9"/>
      <c r="DO180" s="9"/>
      <c r="DP180" s="78">
        <v>1.1126564673157173E-2</v>
      </c>
      <c r="DQ180" s="78">
        <v>1.0268172194777703E-2</v>
      </c>
      <c r="DR180" s="78">
        <v>6.5475553653578742E-3</v>
      </c>
      <c r="DS180" s="78">
        <f t="shared" ca="1" si="175"/>
        <v>2.6314844731646032E-2</v>
      </c>
      <c r="DT180" s="47"/>
      <c r="DU180" s="43">
        <f t="shared" si="176"/>
        <v>0.41572226305551629</v>
      </c>
      <c r="DV180" s="83">
        <f t="shared" ca="1" si="177"/>
        <v>1.3808</v>
      </c>
      <c r="DW180" s="83">
        <f t="shared" ca="1" si="178"/>
        <v>-3.0091000000000001</v>
      </c>
      <c r="DX180" s="83">
        <f t="shared" ca="1" si="179"/>
        <v>4.3898999999999999</v>
      </c>
      <c r="DY180" s="67"/>
      <c r="DZ180" s="67"/>
      <c r="EA180" s="44"/>
      <c r="EB180" s="44">
        <v>3200</v>
      </c>
      <c r="EC180" s="44" cm="1">
        <f t="array" aca="1" ref="EC180" ca="1">_FV(EE180,"Volume")</f>
        <v>148500</v>
      </c>
      <c r="EE180" s="2" t="e" vm="182">
        <v>#VALUE!</v>
      </c>
      <c r="EG180" s="10" cm="1">
        <f t="array" aca="1" ref="EG180" ca="1">_FV(EE180,"Ações em circulação",TRUE)</f>
        <v>683062200</v>
      </c>
      <c r="EH180" s="21">
        <f>VLOOKUP(BH180,Fundamentus!A:U,5,FALSE)</f>
        <v>1.389</v>
      </c>
      <c r="EI180" s="2">
        <f t="shared" ca="1" si="180"/>
        <v>4514406764.5788336</v>
      </c>
      <c r="EJ180" s="20">
        <v>195521022.38876885</v>
      </c>
      <c r="EK180" s="20">
        <f t="shared" ca="1" si="181"/>
        <v>206308389.1412527</v>
      </c>
      <c r="EM180" s="56" t="str">
        <f>IF(VLOOKUP(BH180,Fundamentus!A:U,3,FALSE)&lt;15,"Bom",IF(VLOOKUP(BH180,Fundamentus!A:U,3,FALSE)&gt;15,"Ruim","n/a"))</f>
        <v>Ruim</v>
      </c>
      <c r="EN180" s="57" t="str">
        <f>IF(VLOOKUP(BH180,Fundamentus!A:U,4,FALSE)&lt;1,"Baixo",IF(VLOOKUP(BH180,Fundamentus!A:U,4,FALSE)&lt;1.5,"Moderado",IF(VLOOKUP(BH180,Fundamentus!A:U,4,FALSE)&gt;1.5,"Alto","n/a")))</f>
        <v>Moderado</v>
      </c>
      <c r="EO180" s="38" t="str">
        <f>IF(VLOOKUP(BH180,Fundamentus!A:U,8,FALSE)&lt;0,"Risco elevado",IF(VLOOKUP(BH180,Fundamentus!A:U,8,FALSE)&lt;1,"Saudável",IF(VLOOKUP(BH180,Fundamentus!A:U,8,FALSE)&lt;3,"Estável",IF(VLOOKUP(BH180,Fundamentus!A:U,8,FALSE)&gt;3,"Alerta","n/a"))))</f>
        <v>Alerta</v>
      </c>
      <c r="EP180" s="57" t="str">
        <f t="shared" si="182"/>
        <v>Bom</v>
      </c>
      <c r="EQ180" s="38" t="str">
        <f>IF(VLOOKUP(BH180,Fundamentus!A:U,12,FALSE)&lt;2,"Subvalorizada",IF(VLOOKUP(BH180,Fundamentus!A:U,12,FALSE)&lt;6,"Muita barata",IF(VLOOKUP(BH180,Fundamentus!A:U,12,FALSE)&lt;6,"Barata",IF(VLOOKUP(BH180,Fundamentus!A:U,12,FALSE)&lt;8,"Atrativa",IF(VLOOKUP(BH180,Fundamentus!A:U,12,FALSE)&gt;8,"Supervalorizada","n/a")))))</f>
        <v>Supervalorizada</v>
      </c>
      <c r="ES180" s="38" t="str">
        <f>IF(VLOOKUP(BH180,Fundamentus!A:U,17,FALSE)&lt;0.1,"Fraco retorno",IF(VLOOKUP(BH180,Fundamentus!A:U,17,FALSE)&gt;0.1,"Bom retorno","n/a"))</f>
        <v>Fraco retorno</v>
      </c>
      <c r="ET180" s="38" t="str">
        <f>IF(VLOOKUP(BH180,Fundamentus!A:U,16,FALSE)&lt;0.1,"Ineficiente",IF(VLOOKUP(BH180,Fundamentus!A:U,16,FALSE)&gt;0.1,"Eficiente","n/a"))</f>
        <v>Ineficiente</v>
      </c>
      <c r="EU180" s="60" t="str">
        <f>IF(VLOOKUP(BH180,Fundamentus!A:U,16,FALSE)&lt;0.1,"Oper. Ineficiente",IF(VLOOKUP(BH180,Fundamentus!A:U,16,FALSE)&gt;0.1,"Oper.Eficiente","n/a"))</f>
        <v>Oper. Ineficiente</v>
      </c>
      <c r="EV180" s="59">
        <f>VLOOKUP(BH180,Fundamentus!A:U,14,FALSE)</f>
        <v>4.5699999999999998E-2</v>
      </c>
      <c r="EW180" s="38" t="str">
        <f>IF(VLOOKUP(BH180,Fundamentus!A:U,21,FALSE)&lt;0,"Negativo",IF(VLOOKUP(BH180,Fundamentus!A:U,21,FALSE)&lt;0.05,"Fraco",IF(VLOOKUP(BH180,Fundamentus!A:U,21,FALSE)&lt;0.1,"Bom",IF(VLOOKUP(BH180,Fundamentus!A:U,21,FALSE)&gt;0.1,"Muito bom","n/a"))))</f>
        <v>Fraco</v>
      </c>
      <c r="EY180" s="39" t="str">
        <f>IF(VLOOKUP(BH180,Fundamentus!A:U,15,FALSE)&gt;1,"Bom",IF(VLOOKUP(BH180,Fundamentus!A:U,15,FALSE)&lt;1,"Ruim","n/a"))</f>
        <v>Bom</v>
      </c>
      <c r="EZ180" s="38" t="str">
        <f>IF(VLOOKUP(BH180,Fundamentus!A:U,20,FALSE)&lt;0.5,"Baixa",IF(VLOOKUP(BH180,Fundamentus!A:U,20,FALSE)&lt;1,"Moderada",IF(VLOOKUP(BH180,Fundamentus!A:U,20,FALSE)&lt;2,"Alerta",IF(VLOOKUP(BH180,Fundamentus!A:U,20,FALSE)&gt;2,"Alta","n/a"))))</f>
        <v>Baixa</v>
      </c>
      <c r="FA180" s="10"/>
    </row>
    <row r="181" spans="1:157" s="2" customFormat="1" ht="11.25" hidden="1" x14ac:dyDescent="0.2">
      <c r="A181" s="4">
        <v>3.89</v>
      </c>
      <c r="B181" s="4">
        <v>4</v>
      </c>
      <c r="C181" s="4">
        <v>4.26</v>
      </c>
      <c r="D181" s="4">
        <v>3.95</v>
      </c>
      <c r="E181" s="4">
        <v>3.81</v>
      </c>
      <c r="F181" s="4">
        <v>3.76</v>
      </c>
      <c r="G181" s="4">
        <v>3.36</v>
      </c>
      <c r="H181" s="4">
        <v>3.42</v>
      </c>
      <c r="I181" s="4">
        <v>3.57</v>
      </c>
      <c r="J181" s="4">
        <v>3.52</v>
      </c>
      <c r="K181" s="4">
        <v>3.71</v>
      </c>
      <c r="L181" s="4">
        <v>3.54</v>
      </c>
      <c r="M181" s="4">
        <v>3.44</v>
      </c>
      <c r="N181" s="4">
        <v>3.44</v>
      </c>
      <c r="O181" s="4">
        <v>4.05</v>
      </c>
      <c r="P181" s="4">
        <v>3.86</v>
      </c>
      <c r="Q181" s="4">
        <v>3.89</v>
      </c>
      <c r="R181" s="4">
        <v>3.69</v>
      </c>
      <c r="S181" s="4">
        <v>3.82</v>
      </c>
      <c r="T181" s="4">
        <v>4.07</v>
      </c>
      <c r="U181" s="4">
        <v>3.9</v>
      </c>
      <c r="V181" s="4">
        <v>4.04</v>
      </c>
      <c r="W181" s="4">
        <v>3.82</v>
      </c>
      <c r="X181" s="4">
        <v>3.73</v>
      </c>
      <c r="Y181" s="4">
        <v>3.74</v>
      </c>
      <c r="Z181" s="4">
        <v>3.61</v>
      </c>
      <c r="AA181" s="4">
        <v>3.55</v>
      </c>
      <c r="AB181" s="4">
        <v>3.44</v>
      </c>
      <c r="AC181" s="4">
        <v>3.4</v>
      </c>
      <c r="AD181" s="4">
        <v>3.23</v>
      </c>
      <c r="AE181" s="4">
        <v>3</v>
      </c>
      <c r="AF181" s="4">
        <v>2.8</v>
      </c>
      <c r="AG181" s="4">
        <v>2.48</v>
      </c>
      <c r="AH181" s="4">
        <v>2.52</v>
      </c>
      <c r="AI181" s="4">
        <v>2.2999999999999998</v>
      </c>
      <c r="AJ181" s="4">
        <v>2.2999999999999998</v>
      </c>
      <c r="AK181" s="4">
        <v>2.33</v>
      </c>
      <c r="AL181" s="4">
        <v>2.2999999999999998</v>
      </c>
      <c r="AM181" s="4">
        <v>2.23</v>
      </c>
      <c r="AN181" s="4">
        <v>2.2200000000000002</v>
      </c>
      <c r="AO181" s="4">
        <v>2.2000000000000002</v>
      </c>
      <c r="AP181" s="4">
        <v>2.2599999999999998</v>
      </c>
      <c r="AQ181" s="4">
        <v>2.19</v>
      </c>
      <c r="AR181" s="4">
        <v>2.2000000000000002</v>
      </c>
      <c r="AS181" s="4">
        <v>2.25</v>
      </c>
      <c r="AT181" s="4">
        <v>2.4500000000000002</v>
      </c>
      <c r="AU181" s="4">
        <v>2.665</v>
      </c>
      <c r="AV181" s="4">
        <v>3.03</v>
      </c>
      <c r="AW181" s="4">
        <v>2.78</v>
      </c>
      <c r="AX181" s="4">
        <v>2.77</v>
      </c>
      <c r="AY181" s="12">
        <v>2.93</v>
      </c>
      <c r="AZ181" s="12">
        <v>2.95</v>
      </c>
      <c r="BA181" s="12">
        <v>2.75</v>
      </c>
      <c r="BB181" s="18">
        <v>3.1</v>
      </c>
      <c r="BC181" s="63">
        <v>3.07</v>
      </c>
      <c r="BD181" s="63">
        <v>3.04</v>
      </c>
      <c r="BE181" s="63">
        <v>3.4</v>
      </c>
      <c r="BF181" s="63">
        <v>3.21</v>
      </c>
      <c r="BG181" s="91" cm="1">
        <f t="array" aca="1" ref="BG181" ca="1">_FV(EE181,"Preço")</f>
        <v>3.86</v>
      </c>
      <c r="BH181" s="93" t="s">
        <v>178</v>
      </c>
      <c r="BI181" s="32" cm="1">
        <f t="array" aca="1" ref="BI181" ca="1">_FV(EE181,"Beta")</f>
        <v>1.5438000000000001</v>
      </c>
      <c r="BJ181" s="96" cm="1">
        <f t="array" aca="1" ref="BJ181" ca="1">_FV(EE181,"Variação (%)",TRUE)</f>
        <v>4.3243000000000004E-2</v>
      </c>
      <c r="BK181" s="49"/>
      <c r="BL181" s="49"/>
      <c r="BN181" s="32"/>
      <c r="BO181" s="20" cm="1">
        <f t="array" aca="1" ref="BO181" ca="1">_FV(EE181,"Baixo")</f>
        <v>3.57</v>
      </c>
      <c r="BP181" s="20" cm="1">
        <f t="array" aca="1" ref="BP181" ca="1">_FV(EE181,"Alto")</f>
        <v>3.86</v>
      </c>
      <c r="BQ181" s="32"/>
      <c r="BR181" s="74">
        <f ca="1">SQRT(22.5*(BG181/VLOOKUP(BH181,Fundamentus!A:U,3,FALSE))*(BG181/VLOOKUP(BH181,Fundamentus!A:U,4,FALSE)))</f>
        <v>12.608425808391214</v>
      </c>
      <c r="BT181" s="73">
        <f t="shared" ca="1" si="158"/>
        <v>0.2024922118380062</v>
      </c>
      <c r="BU181" s="36">
        <f t="shared" si="159"/>
        <v>-0.1259640102827764</v>
      </c>
      <c r="BV181" s="8"/>
      <c r="BW181" s="72">
        <f t="shared" si="160"/>
        <v>2.19</v>
      </c>
      <c r="BX181" s="72">
        <f t="shared" si="161"/>
        <v>3.1937068965517228</v>
      </c>
      <c r="BY181" s="72">
        <f t="shared" si="162"/>
        <v>4.26</v>
      </c>
      <c r="BZ181" s="17"/>
      <c r="CA181" s="17"/>
      <c r="CB181" s="43">
        <f t="shared" si="163"/>
        <v>3.0843734548210229</v>
      </c>
      <c r="CC181" s="18">
        <f t="shared" si="164"/>
        <v>3.368978444236177</v>
      </c>
      <c r="CD181" s="43">
        <f t="shared" si="165"/>
        <v>3.6535834336513311</v>
      </c>
      <c r="CE181" s="98">
        <f t="shared" ca="1" si="166"/>
        <v>1.7252738849478437</v>
      </c>
      <c r="CF181" s="17"/>
      <c r="CG181" s="20">
        <f t="shared" si="167"/>
        <v>0.11000000000000076</v>
      </c>
      <c r="CH181" s="20">
        <f t="shared" si="168"/>
        <v>1.1500000000000004</v>
      </c>
      <c r="CI181" s="20">
        <f t="shared" si="169"/>
        <v>2.1800000000000006</v>
      </c>
      <c r="CJ181" s="49">
        <f t="shared" si="170"/>
        <v>3.22</v>
      </c>
      <c r="CK181" s="20">
        <f t="shared" si="171"/>
        <v>4.25</v>
      </c>
      <c r="CL181" s="20">
        <f t="shared" si="172"/>
        <v>5.29</v>
      </c>
      <c r="CM181" s="20">
        <f t="shared" si="173"/>
        <v>6.32</v>
      </c>
      <c r="CN181" s="2" cm="1">
        <f t="array" aca="1" ref="CN181" ca="1">MAX(_xlfn._xlws.FILTER(CG181:CM181,CG181:CM181&lt;BG181))</f>
        <v>3.22</v>
      </c>
      <c r="CO181" s="2" cm="1">
        <f t="array" aca="1" ref="CO181" ca="1">MIN(_xlfn._xlws.FILTER($CG181:$CM181,$CG181:$CM181&gt;BG181))</f>
        <v>4.25</v>
      </c>
      <c r="CP181" s="19">
        <f t="shared" ca="1" si="200"/>
        <v>0.31987577639751552</v>
      </c>
      <c r="CQ181" s="23">
        <f t="shared" ca="1" si="201"/>
        <v>-0.15993788819875776</v>
      </c>
      <c r="CR181" s="23">
        <f t="shared" ca="1" si="202"/>
        <v>-0.10662525879917184</v>
      </c>
      <c r="CS181" s="23">
        <f t="shared" ca="1" si="203"/>
        <v>-6.3975155279503107E-2</v>
      </c>
      <c r="CT181" s="23">
        <f t="shared" ca="1" si="204"/>
        <v>-3.554175293305728E-2</v>
      </c>
      <c r="CU181" s="23">
        <f t="shared" ca="1" si="205"/>
        <v>-1.8816222141030323E-2</v>
      </c>
      <c r="CV181" s="23">
        <f t="shared" ca="1" si="206"/>
        <v>-9.6932053453792581E-3</v>
      </c>
      <c r="CW181" s="23">
        <f t="shared" ca="1" si="207"/>
        <v>-4.9211657907310084E-3</v>
      </c>
      <c r="CX181" s="24">
        <f t="shared" ca="1" si="208"/>
        <v>4.9211657907310084E-3</v>
      </c>
      <c r="CY181" s="24">
        <f t="shared" ca="1" si="209"/>
        <v>9.6932053453792581E-3</v>
      </c>
      <c r="CZ181" s="24">
        <f t="shared" ca="1" si="210"/>
        <v>1.8816222141030323E-2</v>
      </c>
      <c r="DA181" s="24">
        <f t="shared" ca="1" si="211"/>
        <v>3.554175293305728E-2</v>
      </c>
      <c r="DB181" s="24">
        <f t="shared" ca="1" si="212"/>
        <v>6.3975155279503107E-2</v>
      </c>
      <c r="DC181" s="24">
        <f t="shared" ca="1" si="213"/>
        <v>0.10662525879917184</v>
      </c>
      <c r="DD181" s="24">
        <f t="shared" ca="1" si="214"/>
        <v>0.15993788819875776</v>
      </c>
      <c r="DF181" s="19" cm="1">
        <f t="array" aca="1" ref="DF181" ca="1">MAX(_xlfn._xlws.FILTER(CQ181:DD181,CQ181:DD181&lt;BJ181))</f>
        <v>3.554175293305728E-2</v>
      </c>
      <c r="DG181" s="19" cm="1">
        <f t="array" aca="1" ref="DG181" ca="1">MIN(_xlfn._xlws.FILTER(CQ181:DD181,CQ181:DD181&gt;BJ181))</f>
        <v>6.3975155279503107E-2</v>
      </c>
      <c r="DH181" s="2" cm="1">
        <f t="array" aca="1" ref="DH181" ca="1">_FV(EE181,"Fechamento anterior",TRUE)</f>
        <v>3.7</v>
      </c>
      <c r="DI181" s="36">
        <f t="shared" ca="1" si="174"/>
        <v>0.27086066649173229</v>
      </c>
      <c r="DJ181" s="18">
        <f t="shared" ca="1" si="215"/>
        <v>3.831504485852312</v>
      </c>
      <c r="DK181" s="18">
        <f t="shared" ca="1" si="216"/>
        <v>3.9367080745341618</v>
      </c>
      <c r="DL181" s="9"/>
      <c r="DM181" s="9"/>
      <c r="DN181" s="9"/>
      <c r="DO181" s="9"/>
      <c r="DP181" s="79">
        <v>1.6149582195747487E-2</v>
      </c>
      <c r="DQ181" s="79">
        <v>8.8088630158622682E-3</v>
      </c>
      <c r="DR181" s="79">
        <v>2.745428973277074E-2</v>
      </c>
      <c r="DS181" s="79">
        <f t="shared" ca="1" si="175"/>
        <v>2.8433402346445827E-2</v>
      </c>
      <c r="DT181" s="47"/>
      <c r="DU181" s="43">
        <f t="shared" si="176"/>
        <v>0.14230249470757705</v>
      </c>
      <c r="DV181" s="83">
        <f t="shared" ca="1" si="177"/>
        <v>1.9699</v>
      </c>
      <c r="DW181" s="83">
        <f t="shared" ca="1" si="178"/>
        <v>-2.7805</v>
      </c>
      <c r="DX181" s="83">
        <f t="shared" ca="1" si="179"/>
        <v>4.7504</v>
      </c>
      <c r="DY181" s="67"/>
      <c r="DZ181" s="67"/>
      <c r="EA181" s="44"/>
      <c r="EB181" s="44">
        <v>107300</v>
      </c>
      <c r="EC181" s="44" cm="1">
        <f t="array" aca="1" ref="EC181" ca="1">_FV(EE181,"Volume")</f>
        <v>51700</v>
      </c>
      <c r="EE181" s="2" t="e" vm="183">
        <v>#VALUE!</v>
      </c>
      <c r="EG181" s="10" cm="1">
        <f t="array" aca="1" ref="EG181" ca="1">_FV(EE181,"Ações em circulação",TRUE)</f>
        <v>63461460</v>
      </c>
      <c r="EH181" s="21">
        <f>VLOOKUP(BH181,Fundamentus!A:U,5,FALSE)</f>
        <v>0.251</v>
      </c>
      <c r="EI181" s="2">
        <f t="shared" ca="1" si="180"/>
        <v>975941177.68924296</v>
      </c>
      <c r="EJ181" s="20">
        <v>30921912.42812749</v>
      </c>
      <c r="EK181" s="20">
        <f t="shared" ca="1" si="181"/>
        <v>37183358.869960159</v>
      </c>
      <c r="EM181" s="40" t="str">
        <f>IF(VLOOKUP(BH181,Fundamentus!A:U,3,FALSE)&lt;15,"Bom",IF(VLOOKUP(BH181,Fundamentus!A:U,3,FALSE)&gt;15,"Ruim","n/a"))</f>
        <v>Bom</v>
      </c>
      <c r="EN181" s="36" t="str">
        <f>IF(VLOOKUP(BH181,Fundamentus!A:U,4,FALSE)&lt;1,"Baixo",IF(VLOOKUP(BH181,Fundamentus!A:U,4,FALSE)&lt;1.5,"Moderado",IF(VLOOKUP(BH181,Fundamentus!A:U,4,FALSE)&gt;1.5,"Alto","n/a")))</f>
        <v>Baixo</v>
      </c>
      <c r="EO181" s="20" t="str">
        <f>IF(VLOOKUP(BH181,Fundamentus!A:U,8,FALSE)&lt;0,"Risco elevado",IF(VLOOKUP(BH181,Fundamentus!A:U,8,FALSE)&lt;1,"Saudável",IF(VLOOKUP(BH181,Fundamentus!A:U,8,FALSE)&lt;3,"Estável",IF(VLOOKUP(BH181,Fundamentus!A:U,8,FALSE)&gt;3,"Alerta","n/a"))))</f>
        <v>Saudável</v>
      </c>
      <c r="EP181" s="36" t="str">
        <f t="shared" si="182"/>
        <v>Ruim</v>
      </c>
      <c r="EQ181" s="20" t="str">
        <f>IF(VLOOKUP(BH181,Fundamentus!A:U,12,FALSE)&lt;2,"Subvalorizada",IF(VLOOKUP(BH181,Fundamentus!A:U,12,FALSE)&lt;6,"Muita barata",IF(VLOOKUP(BH181,Fundamentus!A:U,12,FALSE)&lt;6,"Barata",IF(VLOOKUP(BH181,Fundamentus!A:U,12,FALSE)&lt;8,"Atrativa",IF(VLOOKUP(BH181,Fundamentus!A:U,12,FALSE)&gt;8,"Supervalorizada","n/a")))))</f>
        <v>Subvalorizada</v>
      </c>
      <c r="ES181" s="20" t="str">
        <f>IF(VLOOKUP(BH181,Fundamentus!A:U,17,FALSE)&lt;0.1,"Fraco retorno",IF(VLOOKUP(BH181,Fundamentus!A:U,17,FALSE)&gt;0.1,"Bom retorno","n/a"))</f>
        <v>Fraco retorno</v>
      </c>
      <c r="ET181" s="20" t="str">
        <f>IF(VLOOKUP(BH181,Fundamentus!A:U,16,FALSE)&lt;0.1,"Ineficiente",IF(VLOOKUP(BH181,Fundamentus!A:U,16,FALSE)&gt;0.1,"Eficiente","n/a"))</f>
        <v>Eficiente</v>
      </c>
      <c r="EU181" s="41" t="str">
        <f>IF(VLOOKUP(BH181,Fundamentus!A:U,16,FALSE)&lt;0.1,"Oper. Ineficiente",IF(VLOOKUP(BH181,Fundamentus!A:U,16,FALSE)&gt;0.1,"Oper.Eficiente","n/a"))</f>
        <v>Oper.Eficiente</v>
      </c>
      <c r="EV181" s="42">
        <f>VLOOKUP(BH181,Fundamentus!A:U,14,FALSE)</f>
        <v>3.8100000000000002E-2</v>
      </c>
      <c r="EW181" s="20" t="str">
        <f>IF(VLOOKUP(BH181,Fundamentus!A:U,21,FALSE)&lt;0,"Negativo",IF(VLOOKUP(BH181,Fundamentus!A:U,21,FALSE)&lt;0.05,"Fraco",IF(VLOOKUP(BH181,Fundamentus!A:U,21,FALSE)&lt;0.1,"Bom",IF(VLOOKUP(BH181,Fundamentus!A:U,21,FALSE)&gt;0.1,"Muito bom","n/a"))))</f>
        <v>Negativo</v>
      </c>
      <c r="EY181" s="37" t="str">
        <f>IF(VLOOKUP(BH181,Fundamentus!A:U,15,FALSE)&gt;1,"Bom",IF(VLOOKUP(BH181,Fundamentus!A:U,15,FALSE)&lt;1,"Ruim","n/a"))</f>
        <v>Bom</v>
      </c>
      <c r="EZ181" s="20" t="str">
        <f>IF(VLOOKUP(BH181,Fundamentus!A:U,20,FALSE)&lt;0.5,"Baixa",IF(VLOOKUP(BH181,Fundamentus!A:U,20,FALSE)&lt;1,"Moderada",IF(VLOOKUP(BH181,Fundamentus!A:U,20,FALSE)&lt;2,"Alerta",IF(VLOOKUP(BH181,Fundamentus!A:U,20,FALSE)&gt;2,"Alta","n/a"))))</f>
        <v>Baixa</v>
      </c>
      <c r="FA181" s="10"/>
    </row>
    <row r="182" spans="1:157" s="2" customFormat="1" ht="11.25" hidden="1" x14ac:dyDescent="0.2">
      <c r="A182" s="4">
        <v>6.24</v>
      </c>
      <c r="B182" s="4">
        <v>6.24</v>
      </c>
      <c r="C182" s="4">
        <v>6.87</v>
      </c>
      <c r="D182" s="4">
        <v>6.55</v>
      </c>
      <c r="E182" s="4">
        <v>6.19</v>
      </c>
      <c r="F182" s="4">
        <v>6.1</v>
      </c>
      <c r="G182" s="4">
        <v>6.16</v>
      </c>
      <c r="H182" s="4">
        <v>6.45</v>
      </c>
      <c r="I182" s="4">
        <v>6.63</v>
      </c>
      <c r="J182" s="4">
        <v>6.86</v>
      </c>
      <c r="K182" s="4">
        <v>6.82</v>
      </c>
      <c r="L182" s="4">
        <v>6.55</v>
      </c>
      <c r="M182" s="4">
        <v>6.32</v>
      </c>
      <c r="N182" s="4">
        <v>6.47</v>
      </c>
      <c r="O182" s="4">
        <v>7.51</v>
      </c>
      <c r="P182" s="4">
        <v>7.42</v>
      </c>
      <c r="Q182" s="4">
        <v>7.95</v>
      </c>
      <c r="R182" s="4">
        <v>7.49</v>
      </c>
      <c r="S182" s="4">
        <v>7</v>
      </c>
      <c r="T182" s="4">
        <v>6.91</v>
      </c>
      <c r="U182" s="4">
        <v>6.53</v>
      </c>
      <c r="V182" s="4">
        <v>6.49</v>
      </c>
      <c r="W182" s="4">
        <v>6.38</v>
      </c>
      <c r="X182" s="4">
        <v>5.54</v>
      </c>
      <c r="Y182" s="4">
        <v>5.49</v>
      </c>
      <c r="Z182" s="4">
        <v>5.49</v>
      </c>
      <c r="AA182" s="4">
        <v>5.76</v>
      </c>
      <c r="AB182" s="4">
        <v>5.38</v>
      </c>
      <c r="AC182" s="4">
        <v>5.71</v>
      </c>
      <c r="AD182" s="4">
        <v>5.64</v>
      </c>
      <c r="AE182" s="4">
        <v>5.83</v>
      </c>
      <c r="AF182" s="4">
        <v>5.91</v>
      </c>
      <c r="AG182" s="4">
        <v>5.73</v>
      </c>
      <c r="AH182" s="4">
        <v>5.44</v>
      </c>
      <c r="AI182" s="4">
        <v>5.18</v>
      </c>
      <c r="AJ182" s="4">
        <v>4.76</v>
      </c>
      <c r="AK182" s="4">
        <v>5.08</v>
      </c>
      <c r="AL182" s="4">
        <v>5.0199999999999996</v>
      </c>
      <c r="AM182" s="4">
        <v>4.4400000000000004</v>
      </c>
      <c r="AN182" s="4">
        <v>4.84</v>
      </c>
      <c r="AO182" s="4">
        <v>4.4400000000000004</v>
      </c>
      <c r="AP182" s="4">
        <v>4.5199999999999996</v>
      </c>
      <c r="AQ182" s="4">
        <v>4.55</v>
      </c>
      <c r="AR182" s="4">
        <v>4.42</v>
      </c>
      <c r="AS182" s="4">
        <v>4.79</v>
      </c>
      <c r="AT182" s="4">
        <v>5.37</v>
      </c>
      <c r="AU182" s="4">
        <v>5.9749999999999996</v>
      </c>
      <c r="AV182" s="4">
        <v>6.21</v>
      </c>
      <c r="AW182" s="4">
        <v>6.47</v>
      </c>
      <c r="AX182" s="4">
        <v>6.97</v>
      </c>
      <c r="AY182" s="12">
        <v>7.41</v>
      </c>
      <c r="AZ182" s="12">
        <v>7.83</v>
      </c>
      <c r="BA182" s="12">
        <v>5.91</v>
      </c>
      <c r="BB182" s="18">
        <v>5.16</v>
      </c>
      <c r="BC182" s="63">
        <v>5.14</v>
      </c>
      <c r="BD182" s="63">
        <v>5.17</v>
      </c>
      <c r="BE182" s="63">
        <v>5.04</v>
      </c>
      <c r="BF182" s="63">
        <v>4.9000000000000004</v>
      </c>
      <c r="BG182" s="91" cm="1">
        <f t="array" aca="1" ref="BG182" ca="1">_FV(EE182,"Preço")</f>
        <v>4.8600000000000003</v>
      </c>
      <c r="BH182" s="93" t="s">
        <v>179</v>
      </c>
      <c r="BI182" s="32" cm="1">
        <f t="array" aca="1" ref="BI182" ca="1">_FV(EE182,"Beta")</f>
        <v>0.78569999999999995</v>
      </c>
      <c r="BJ182" s="96" cm="1">
        <f t="array" aca="1" ref="BJ182" ca="1">_FV(EE182,"Variação (%)",TRUE)</f>
        <v>-4.3307000000000005E-2</v>
      </c>
      <c r="BK182" s="49"/>
      <c r="BL182" s="49"/>
      <c r="BN182" s="32"/>
      <c r="BO182" s="20" cm="1">
        <f t="array" aca="1" ref="BO182" ca="1">_FV(EE182,"Baixo")</f>
        <v>4.8600000000000003</v>
      </c>
      <c r="BP182" s="20" cm="1">
        <f t="array" aca="1" ref="BP182" ca="1">_FV(EE182,"Alto")</f>
        <v>5.05</v>
      </c>
      <c r="BQ182" s="32"/>
      <c r="BR182" s="74">
        <f ca="1">SQRT(22.5*(BG182/VLOOKUP(BH182,Fundamentus!A:U,3,FALSE))*(BG182/VLOOKUP(BH182,Fundamentus!A:U,4,FALSE)))</f>
        <v>6.8190128995454513</v>
      </c>
      <c r="BT182" s="73">
        <f t="shared" ca="1" si="158"/>
        <v>-8.1632653061224549E-3</v>
      </c>
      <c r="BU182" s="36">
        <f t="shared" si="159"/>
        <v>-0.19230769230769232</v>
      </c>
      <c r="BV182" s="8"/>
      <c r="BW182" s="72">
        <f t="shared" si="160"/>
        <v>4.42</v>
      </c>
      <c r="BX182" s="72">
        <f t="shared" si="161"/>
        <v>5.9593965517241418</v>
      </c>
      <c r="BY182" s="72">
        <f t="shared" si="162"/>
        <v>7.95</v>
      </c>
      <c r="BZ182" s="17"/>
      <c r="CA182" s="17"/>
      <c r="CB182" s="43">
        <f t="shared" si="163"/>
        <v>4.6484904762093269</v>
      </c>
      <c r="CC182" s="18">
        <f t="shared" si="164"/>
        <v>4.8593814432989575</v>
      </c>
      <c r="CD182" s="43">
        <f t="shared" si="165"/>
        <v>5.0702724103885881</v>
      </c>
      <c r="CE182" s="98">
        <f t="shared" ca="1" si="166"/>
        <v>2.9330639883686192E-3</v>
      </c>
      <c r="CF182" s="17"/>
      <c r="CG182" s="20">
        <f t="shared" si="167"/>
        <v>3.3333333333334991E-2</v>
      </c>
      <c r="CH182" s="20">
        <f t="shared" si="168"/>
        <v>2.2266666666666675</v>
      </c>
      <c r="CI182" s="20">
        <f t="shared" si="169"/>
        <v>3.5633333333333352</v>
      </c>
      <c r="CJ182" s="49">
        <f t="shared" si="170"/>
        <v>5.7566666666666677</v>
      </c>
      <c r="CK182" s="20">
        <f t="shared" si="171"/>
        <v>7.0933333333333355</v>
      </c>
      <c r="CL182" s="20">
        <f t="shared" si="172"/>
        <v>9.2866666666666688</v>
      </c>
      <c r="CM182" s="20">
        <f t="shared" si="173"/>
        <v>10.623333333333335</v>
      </c>
      <c r="CN182" s="2" cm="1">
        <f t="array" aca="1" ref="CN182" ca="1">MAX(_xlfn._xlws.FILTER(CG182:CM182,CG182:CM182&lt;BG182))</f>
        <v>3.5633333333333352</v>
      </c>
      <c r="CO182" s="2" cm="1">
        <f t="array" aca="1" ref="CO182" ca="1">MIN(_xlfn._xlws.FILTER($CG182:$CM182,$CG182:$CM182&gt;BG182))</f>
        <v>5.7566666666666677</v>
      </c>
      <c r="CP182" s="19">
        <f t="shared" ca="1" si="200"/>
        <v>0.61552853133769814</v>
      </c>
      <c r="CQ182" s="23">
        <f t="shared" ca="1" si="201"/>
        <v>-0.30776426566884907</v>
      </c>
      <c r="CR182" s="23">
        <f t="shared" ca="1" si="202"/>
        <v>-0.20517617711256605</v>
      </c>
      <c r="CS182" s="23">
        <f t="shared" ca="1" si="203"/>
        <v>-0.12310570626753962</v>
      </c>
      <c r="CT182" s="23">
        <f t="shared" ca="1" si="204"/>
        <v>-6.8392059037522018E-2</v>
      </c>
      <c r="CU182" s="23">
        <f t="shared" ca="1" si="205"/>
        <v>-3.6207560666923419E-2</v>
      </c>
      <c r="CV182" s="23">
        <f t="shared" ca="1" si="206"/>
        <v>-1.8652379737506004E-2</v>
      </c>
      <c r="CW182" s="23">
        <f t="shared" ca="1" si="207"/>
        <v>-9.4696697128876638E-3</v>
      </c>
      <c r="CX182" s="24">
        <f t="shared" ca="1" si="208"/>
        <v>9.4696697128876638E-3</v>
      </c>
      <c r="CY182" s="24">
        <f t="shared" ca="1" si="209"/>
        <v>1.8652379737506004E-2</v>
      </c>
      <c r="CZ182" s="24">
        <f t="shared" ca="1" si="210"/>
        <v>3.6207560666923419E-2</v>
      </c>
      <c r="DA182" s="24">
        <f t="shared" ca="1" si="211"/>
        <v>6.8392059037522018E-2</v>
      </c>
      <c r="DB182" s="24">
        <f t="shared" ca="1" si="212"/>
        <v>0.12310570626753962</v>
      </c>
      <c r="DC182" s="24">
        <f t="shared" ca="1" si="213"/>
        <v>0.20517617711256605</v>
      </c>
      <c r="DD182" s="24">
        <f t="shared" ca="1" si="214"/>
        <v>0.30776426566884907</v>
      </c>
      <c r="DF182" s="19" cm="1">
        <f t="array" aca="1" ref="DF182" ca="1">MAX(_xlfn._xlws.FILTER(CQ182:DD182,CQ182:DD182&lt;BJ182))</f>
        <v>-6.8392059037522018E-2</v>
      </c>
      <c r="DG182" s="19" cm="1">
        <f t="array" aca="1" ref="DG182" ca="1">MIN(_xlfn._xlws.FILTER(CQ182:DD182,CQ182:DD182&gt;BJ182))</f>
        <v>-3.6207560666923419E-2</v>
      </c>
      <c r="DH182" s="2" cm="1">
        <f t="array" aca="1" ref="DH182" ca="1">_FV(EE182,"Fechamento anterior",TRUE)</f>
        <v>5.08</v>
      </c>
      <c r="DI182" s="36">
        <f t="shared" ca="1" si="174"/>
        <v>0.77941163272144298</v>
      </c>
      <c r="DJ182" s="18">
        <f t="shared" ca="1" si="215"/>
        <v>4.7325683400893883</v>
      </c>
      <c r="DK182" s="18">
        <f t="shared" ca="1" si="216"/>
        <v>4.8960655918120288</v>
      </c>
      <c r="DL182" s="9"/>
      <c r="DM182" s="9"/>
      <c r="DN182" s="9"/>
      <c r="DO182" s="9"/>
      <c r="DP182" s="79">
        <v>1.2059145043438243E-2</v>
      </c>
      <c r="DQ182" s="79">
        <v>1.2059145043438243E-2</v>
      </c>
      <c r="DR182" s="79">
        <v>1.2059145043438243E-2</v>
      </c>
      <c r="DS182" s="79">
        <f t="shared" ca="1" si="175"/>
        <v>3.2184498370598599E-2</v>
      </c>
      <c r="DT182" s="47"/>
      <c r="DU182" s="43">
        <f t="shared" si="176"/>
        <v>0.10544548354481549</v>
      </c>
      <c r="DV182" s="83">
        <f t="shared" ca="1" si="177"/>
        <v>1.2118</v>
      </c>
      <c r="DW182" s="83">
        <f t="shared" ca="1" si="178"/>
        <v>5.1164000000000005</v>
      </c>
      <c r="DX182" s="83">
        <f t="shared" ca="1" si="179"/>
        <v>-3.9046000000000003</v>
      </c>
      <c r="DY182" s="67"/>
      <c r="DZ182" s="67"/>
      <c r="EA182" s="44"/>
      <c r="EB182" s="44">
        <v>13788400</v>
      </c>
      <c r="EC182" s="44" cm="1">
        <f t="array" aca="1" ref="EC182" ca="1">_FV(EE182,"Volume")</f>
        <v>16304800</v>
      </c>
      <c r="EE182" s="2" t="e" vm="184">
        <v>#VALUE!</v>
      </c>
      <c r="EG182" s="10" cm="1">
        <f t="array" aca="1" ref="EG182" ca="1">_FV(EE182,"Ações em circulação",TRUE)</f>
        <v>994130600</v>
      </c>
      <c r="EH182" s="21">
        <f>VLOOKUP(BH182,Fundamentus!A:U,5,FALSE)</f>
        <v>7.8E-2</v>
      </c>
      <c r="EI182" s="2">
        <f t="shared" ca="1" si="180"/>
        <v>61941983538.46154</v>
      </c>
      <c r="EJ182" s="20">
        <v>-1954741155.4102564</v>
      </c>
      <c r="EK182" s="20">
        <f t="shared" ca="1" si="181"/>
        <v>-1938784084.7538464</v>
      </c>
      <c r="EM182" s="40" t="str">
        <f>IF(VLOOKUP(BH182,Fundamentus!A:U,3,FALSE)&lt;15,"Bom",IF(VLOOKUP(BH182,Fundamentus!A:U,3,FALSE)&gt;15,"Ruim","n/a"))</f>
        <v>Bom</v>
      </c>
      <c r="EN182" s="36" t="str">
        <f>IF(VLOOKUP(BH182,Fundamentus!A:U,4,FALSE)&lt;1,"Baixo",IF(VLOOKUP(BH182,Fundamentus!A:U,4,FALSE)&lt;1.5,"Moderado",IF(VLOOKUP(BH182,Fundamentus!A:U,4,FALSE)&gt;1.5,"Alto","n/a")))</f>
        <v>Baixo</v>
      </c>
      <c r="EO182" s="20" t="str">
        <f>IF(VLOOKUP(BH182,Fundamentus!A:U,8,FALSE)&lt;0,"Risco elevado",IF(VLOOKUP(BH182,Fundamentus!A:U,8,FALSE)&lt;1,"Saudável",IF(VLOOKUP(BH182,Fundamentus!A:U,8,FALSE)&lt;3,"Estável",IF(VLOOKUP(BH182,Fundamentus!A:U,8,FALSE)&gt;3,"Alerta","n/a"))))</f>
        <v>Saudável</v>
      </c>
      <c r="EP182" s="36" t="str">
        <f t="shared" si="182"/>
        <v>Ruim</v>
      </c>
      <c r="EQ182" s="20" t="str">
        <f>IF(VLOOKUP(BH182,Fundamentus!A:U,12,FALSE)&lt;2,"Subvalorizada",IF(VLOOKUP(BH182,Fundamentus!A:U,12,FALSE)&lt;6,"Muita barata",IF(VLOOKUP(BH182,Fundamentus!A:U,12,FALSE)&lt;6,"Barata",IF(VLOOKUP(BH182,Fundamentus!A:U,12,FALSE)&lt;8,"Atrativa",IF(VLOOKUP(BH182,Fundamentus!A:U,12,FALSE)&gt;8,"Supervalorizada","n/a")))))</f>
        <v>Muita barata</v>
      </c>
      <c r="ES182" s="20" t="str">
        <f>IF(VLOOKUP(BH182,Fundamentus!A:U,17,FALSE)&lt;0.1,"Fraco retorno",IF(VLOOKUP(BH182,Fundamentus!A:U,17,FALSE)&gt;0.1,"Bom retorno","n/a"))</f>
        <v>Bom retorno</v>
      </c>
      <c r="ET182" s="20" t="str">
        <f>IF(VLOOKUP(BH182,Fundamentus!A:U,16,FALSE)&lt;0.1,"Ineficiente",IF(VLOOKUP(BH182,Fundamentus!A:U,16,FALSE)&gt;0.1,"Eficiente","n/a"))</f>
        <v>Eficiente</v>
      </c>
      <c r="EU182" s="41" t="str">
        <f>IF(VLOOKUP(BH182,Fundamentus!A:U,16,FALSE)&lt;0.1,"Oper. Ineficiente",IF(VLOOKUP(BH182,Fundamentus!A:U,16,FALSE)&gt;0.1,"Oper.Eficiente","n/a"))</f>
        <v>Oper.Eficiente</v>
      </c>
      <c r="EV182" s="42">
        <f>VLOOKUP(BH182,Fundamentus!A:U,14,FALSE)</f>
        <v>-3.1300000000000001E-2</v>
      </c>
      <c r="EW182" s="20" t="str">
        <f>IF(VLOOKUP(BH182,Fundamentus!A:U,21,FALSE)&lt;0,"Negativo",IF(VLOOKUP(BH182,Fundamentus!A:U,21,FALSE)&lt;0.05,"Fraco",IF(VLOOKUP(BH182,Fundamentus!A:U,21,FALSE)&lt;0.1,"Bom",IF(VLOOKUP(BH182,Fundamentus!A:U,21,FALSE)&gt;0.1,"Muito bom","n/a"))))</f>
        <v>Muito bom</v>
      </c>
      <c r="EY182" s="37" t="str">
        <f>IF(VLOOKUP(BH182,Fundamentus!A:U,15,FALSE)&gt;1,"Bom",IF(VLOOKUP(BH182,Fundamentus!A:U,15,FALSE)&lt;1,"Ruim","n/a"))</f>
        <v>Bom</v>
      </c>
      <c r="EZ182" s="20" t="str">
        <f>IF(VLOOKUP(BH182,Fundamentus!A:U,20,FALSE)&lt;0.5,"Baixa",IF(VLOOKUP(BH182,Fundamentus!A:U,20,FALSE)&lt;1,"Moderada",IF(VLOOKUP(BH182,Fundamentus!A:U,20,FALSE)&lt;2,"Alerta",IF(VLOOKUP(BH182,Fundamentus!A:U,20,FALSE)&gt;2,"Alta","n/a"))))</f>
        <v>Baixa</v>
      </c>
      <c r="FA182" s="10"/>
    </row>
    <row r="183" spans="1:157" s="2" customFormat="1" ht="11.25" hidden="1" x14ac:dyDescent="0.2">
      <c r="A183" s="4">
        <v>9.7799999999999994</v>
      </c>
      <c r="B183" s="4">
        <v>9.9600000000000009</v>
      </c>
      <c r="C183" s="4">
        <v>9.93</v>
      </c>
      <c r="D183" s="4">
        <v>9.74</v>
      </c>
      <c r="E183" s="4">
        <v>9.56</v>
      </c>
      <c r="F183" s="4">
        <v>9.5299999999999994</v>
      </c>
      <c r="G183" s="4">
        <v>9.15</v>
      </c>
      <c r="H183" s="4">
        <v>8.85</v>
      </c>
      <c r="I183" s="4">
        <v>9.1199999999999992</v>
      </c>
      <c r="J183" s="4">
        <v>9.34</v>
      </c>
      <c r="K183" s="4">
        <v>9.31</v>
      </c>
      <c r="L183" s="4">
        <v>8.8699999999999992</v>
      </c>
      <c r="M183" s="4">
        <v>8.66</v>
      </c>
      <c r="N183" s="4">
        <v>8.58</v>
      </c>
      <c r="O183" s="4">
        <v>8.35</v>
      </c>
      <c r="P183" s="4">
        <v>8.06</v>
      </c>
      <c r="Q183" s="4">
        <v>8.27</v>
      </c>
      <c r="R183" s="4">
        <v>7.7</v>
      </c>
      <c r="S183" s="4">
        <v>7.42</v>
      </c>
      <c r="T183" s="4">
        <v>7.4</v>
      </c>
      <c r="U183" s="4">
        <v>7.05</v>
      </c>
      <c r="V183" s="4">
        <v>7.11</v>
      </c>
      <c r="W183" s="4">
        <v>7.05</v>
      </c>
      <c r="X183" s="4">
        <v>6.89</v>
      </c>
      <c r="Y183" s="4">
        <v>7</v>
      </c>
      <c r="Z183" s="4">
        <v>7.13</v>
      </c>
      <c r="AA183" s="4">
        <v>7.22</v>
      </c>
      <c r="AB183" s="4">
        <v>6.52</v>
      </c>
      <c r="AC183" s="4">
        <v>6.77</v>
      </c>
      <c r="AD183" s="4">
        <v>6.86</v>
      </c>
      <c r="AE183" s="4">
        <v>6.29</v>
      </c>
      <c r="AF183" s="4">
        <v>6</v>
      </c>
      <c r="AG183" s="4">
        <v>6.18</v>
      </c>
      <c r="AH183" s="4">
        <v>6.18</v>
      </c>
      <c r="AI183" s="4">
        <v>6.32</v>
      </c>
      <c r="AJ183" s="4">
        <v>6.41</v>
      </c>
      <c r="AK183" s="4">
        <v>6.24</v>
      </c>
      <c r="AL183" s="4">
        <v>6.21</v>
      </c>
      <c r="AM183" s="4">
        <v>6.13</v>
      </c>
      <c r="AN183" s="4">
        <v>6.2</v>
      </c>
      <c r="AO183" s="4">
        <v>6.37</v>
      </c>
      <c r="AP183" s="4">
        <v>6.74</v>
      </c>
      <c r="AQ183" s="4">
        <v>6.75</v>
      </c>
      <c r="AR183" s="4">
        <v>6.33</v>
      </c>
      <c r="AS183" s="4">
        <v>6.64</v>
      </c>
      <c r="AT183" s="4">
        <v>6.9</v>
      </c>
      <c r="AU183" s="4">
        <v>6.875</v>
      </c>
      <c r="AV183" s="4">
        <v>7.03</v>
      </c>
      <c r="AW183" s="4">
        <v>7.23</v>
      </c>
      <c r="AX183" s="4">
        <v>7.28</v>
      </c>
      <c r="AY183" s="12">
        <v>7.23</v>
      </c>
      <c r="AZ183" s="12">
        <v>7.39</v>
      </c>
      <c r="BA183" s="12">
        <v>7.4</v>
      </c>
      <c r="BB183" s="18">
        <v>8.11</v>
      </c>
      <c r="BC183" s="63">
        <v>9.14</v>
      </c>
      <c r="BD183" s="63">
        <v>9.08</v>
      </c>
      <c r="BE183" s="63">
        <v>9.18</v>
      </c>
      <c r="BF183" s="63">
        <v>8.93</v>
      </c>
      <c r="BG183" s="91" cm="1">
        <f t="array" aca="1" ref="BG183" ca="1">_FV(EE183,"Preço")</f>
        <v>9.15</v>
      </c>
      <c r="BH183" s="93" t="s">
        <v>67</v>
      </c>
      <c r="BI183" s="32" cm="1">
        <f t="array" aca="1" ref="BI183" ca="1">_FV(EE183,"Beta")</f>
        <v>0.95469999999999999</v>
      </c>
      <c r="BJ183" s="96" cm="1">
        <f t="array" aca="1" ref="BJ183" ca="1">_FV(EE183,"Variação (%)",TRUE)</f>
        <v>1.3289E-2</v>
      </c>
      <c r="BK183" s="49"/>
      <c r="BL183" s="49"/>
      <c r="BN183" s="32"/>
      <c r="BO183" s="20" cm="1">
        <f t="array" aca="1" ref="BO183" ca="1">_FV(EE183,"Baixo")</f>
        <v>8.9600000000000009</v>
      </c>
      <c r="BP183" s="20" cm="1">
        <f t="array" aca="1" ref="BP183" ca="1">_FV(EE183,"Alto")</f>
        <v>9.2100000000000009</v>
      </c>
      <c r="BQ183" s="32"/>
      <c r="BR183" s="74">
        <f ca="1">SQRT(22.5*(BG183/VLOOKUP(BH183,Fundamentus!A:U,3,FALSE))*(BG183/VLOOKUP(BH183,Fundamentus!A:U,4,FALSE)))</f>
        <v>6.240016023831676</v>
      </c>
      <c r="BT183" s="73">
        <f t="shared" ca="1" si="158"/>
        <v>2.4636058230683162E-2</v>
      </c>
      <c r="BU183" s="36">
        <f t="shared" si="159"/>
        <v>-6.1349693251533707E-2</v>
      </c>
      <c r="BV183" s="8"/>
      <c r="BW183" s="72">
        <f t="shared" si="160"/>
        <v>6</v>
      </c>
      <c r="BX183" s="72">
        <f t="shared" si="161"/>
        <v>7.654224137931033</v>
      </c>
      <c r="BY183" s="72">
        <f t="shared" si="162"/>
        <v>9.9600000000000009</v>
      </c>
      <c r="BZ183" s="17"/>
      <c r="CA183" s="17"/>
      <c r="CB183" s="43">
        <f t="shared" si="163"/>
        <v>8.7653047886840181</v>
      </c>
      <c r="CC183" s="18">
        <f t="shared" si="164"/>
        <v>8.9552389878162444</v>
      </c>
      <c r="CD183" s="43">
        <f t="shared" si="165"/>
        <v>9.1451731869484707</v>
      </c>
      <c r="CE183" s="98">
        <f t="shared" ca="1" si="166"/>
        <v>1.0254130802856065</v>
      </c>
      <c r="CF183" s="17"/>
      <c r="CG183" s="20">
        <f t="shared" si="167"/>
        <v>2.673333333333332</v>
      </c>
      <c r="CH183" s="20">
        <f t="shared" si="168"/>
        <v>4.336666666666666</v>
      </c>
      <c r="CI183" s="20">
        <f t="shared" si="169"/>
        <v>6.6333333333333329</v>
      </c>
      <c r="CJ183" s="49">
        <f t="shared" si="170"/>
        <v>8.2966666666666669</v>
      </c>
      <c r="CK183" s="20">
        <f t="shared" si="171"/>
        <v>10.593333333333334</v>
      </c>
      <c r="CL183" s="20">
        <f t="shared" si="172"/>
        <v>12.256666666666668</v>
      </c>
      <c r="CM183" s="20">
        <f t="shared" si="173"/>
        <v>14.553333333333335</v>
      </c>
      <c r="CN183" s="2" cm="1">
        <f t="array" aca="1" ref="CN183" ca="1">MAX(_xlfn._xlws.FILTER(CG183:CM183,CG183:CM183&lt;BG183))</f>
        <v>8.2966666666666669</v>
      </c>
      <c r="CO183" s="2" cm="1">
        <f t="array" aca="1" ref="CO183" ca="1">MIN(_xlfn._xlws.FILTER($CG183:$CM183,$CG183:$CM183&gt;BG183))</f>
        <v>10.593333333333334</v>
      </c>
      <c r="CP183" s="19">
        <f t="shared" ca="1" si="200"/>
        <v>0.27681799919646455</v>
      </c>
      <c r="CQ183" s="23">
        <f t="shared" ca="1" si="201"/>
        <v>-0.13840899959823227</v>
      </c>
      <c r="CR183" s="23">
        <f t="shared" ca="1" si="202"/>
        <v>-9.2272666398821521E-2</v>
      </c>
      <c r="CS183" s="23">
        <f t="shared" ca="1" si="203"/>
        <v>-5.5363599839292912E-2</v>
      </c>
      <c r="CT183" s="23">
        <f t="shared" ca="1" si="204"/>
        <v>-3.0757555466273838E-2</v>
      </c>
      <c r="CU183" s="23">
        <f t="shared" ca="1" si="205"/>
        <v>-1.6283411717439092E-2</v>
      </c>
      <c r="CV183" s="23">
        <f t="shared" ca="1" si="206"/>
        <v>-8.3884242180746835E-3</v>
      </c>
      <c r="CW183" s="23">
        <f t="shared" ca="1" si="207"/>
        <v>-4.2587384491763773E-3</v>
      </c>
      <c r="CX183" s="24">
        <f t="shared" ca="1" si="208"/>
        <v>4.2587384491763773E-3</v>
      </c>
      <c r="CY183" s="24">
        <f t="shared" ca="1" si="209"/>
        <v>8.3884242180746835E-3</v>
      </c>
      <c r="CZ183" s="24">
        <f t="shared" ca="1" si="210"/>
        <v>1.6283411717439092E-2</v>
      </c>
      <c r="DA183" s="24">
        <f t="shared" ca="1" si="211"/>
        <v>3.0757555466273838E-2</v>
      </c>
      <c r="DB183" s="24">
        <f t="shared" ca="1" si="212"/>
        <v>5.5363599839292912E-2</v>
      </c>
      <c r="DC183" s="24">
        <f t="shared" ca="1" si="213"/>
        <v>9.2272666398821521E-2</v>
      </c>
      <c r="DD183" s="24">
        <f t="shared" ca="1" si="214"/>
        <v>0.13840899959823227</v>
      </c>
      <c r="DF183" s="19" cm="1">
        <f t="array" aca="1" ref="DF183" ca="1">MAX(_xlfn._xlws.FILTER(CQ183:DD183,CQ183:DD183&lt;BJ183))</f>
        <v>8.3884242180746835E-3</v>
      </c>
      <c r="DG183" s="19" cm="1">
        <f t="array" aca="1" ref="DG183" ca="1">MIN(_xlfn._xlws.FILTER(CQ183:DD183,CQ183:DD183&gt;BJ183))</f>
        <v>1.6283411717439092E-2</v>
      </c>
      <c r="DH183" s="2" cm="1">
        <f t="array" aca="1" ref="DH183" ca="1">_FV(EE183,"Fechamento anterior",TRUE)</f>
        <v>9.0299999999999994</v>
      </c>
      <c r="DI183" s="36">
        <f t="shared" ca="1" si="174"/>
        <v>0.62072452010474222</v>
      </c>
      <c r="DJ183" s="18">
        <f t="shared" ca="1" si="215"/>
        <v>9.105747470689213</v>
      </c>
      <c r="DK183" s="18">
        <f t="shared" ca="1" si="216"/>
        <v>9.177039207808475</v>
      </c>
      <c r="DL183" s="9"/>
      <c r="DM183" s="9"/>
      <c r="DN183" s="9"/>
      <c r="DO183" s="9"/>
      <c r="DP183" s="79">
        <v>1.5722839252251011E-2</v>
      </c>
      <c r="DQ183" s="79">
        <v>8.5760941375914636E-3</v>
      </c>
      <c r="DR183" s="79">
        <v>8.5760941375914636E-3</v>
      </c>
      <c r="DS183" s="79">
        <f t="shared" ca="1" si="175"/>
        <v>7.8949874993644083E-3</v>
      </c>
      <c r="DT183" s="47"/>
      <c r="DU183" s="43">
        <f t="shared" si="176"/>
        <v>9.4967099566113031E-2</v>
      </c>
      <c r="DV183" s="83">
        <f t="shared" ca="1" si="177"/>
        <v>1.3808</v>
      </c>
      <c r="DW183" s="83">
        <f t="shared" ca="1" si="178"/>
        <v>-0.37419999999999998</v>
      </c>
      <c r="DX183" s="83">
        <f t="shared" ca="1" si="179"/>
        <v>1.7549999999999999</v>
      </c>
      <c r="DY183" s="67"/>
      <c r="DZ183" s="67"/>
      <c r="EA183" s="44"/>
      <c r="EB183" s="44">
        <v>1179200</v>
      </c>
      <c r="EC183" s="44" cm="1">
        <f t="array" aca="1" ref="EC183" ca="1">_FV(EE183,"Volume")</f>
        <v>5014200</v>
      </c>
      <c r="EE183" s="2" t="e" vm="185">
        <v>#VALUE!</v>
      </c>
      <c r="EG183" s="10" cm="1">
        <f t="array" aca="1" ref="EG183" ca="1">_FV(EE183,"Ações em circulação",TRUE)</f>
        <v>683062200</v>
      </c>
      <c r="EH183" s="21">
        <f>VLOOKUP(BH183,Fundamentus!A:U,5,FALSE)</f>
        <v>1.448</v>
      </c>
      <c r="EI183" s="2">
        <f t="shared" ca="1" si="180"/>
        <v>4316311553.867403</v>
      </c>
      <c r="EJ183" s="20">
        <v>192512684.3109116</v>
      </c>
      <c r="EK183" s="20">
        <f t="shared" ca="1" si="181"/>
        <v>197255438.0117403</v>
      </c>
      <c r="EM183" s="40" t="str">
        <f>IF(VLOOKUP(BH183,Fundamentus!A:U,3,FALSE)&lt;15,"Bom",IF(VLOOKUP(BH183,Fundamentus!A:U,3,FALSE)&gt;15,"Ruim","n/a"))</f>
        <v>Ruim</v>
      </c>
      <c r="EN183" s="36" t="str">
        <f>IF(VLOOKUP(BH183,Fundamentus!A:U,4,FALSE)&lt;1,"Baixo",IF(VLOOKUP(BH183,Fundamentus!A:U,4,FALSE)&lt;1.5,"Moderado",IF(VLOOKUP(BH183,Fundamentus!A:U,4,FALSE)&gt;1.5,"Alto","n/a")))</f>
        <v>Alto</v>
      </c>
      <c r="EO183" s="20" t="str">
        <f>IF(VLOOKUP(BH183,Fundamentus!A:U,8,FALSE)&lt;0,"Risco elevado",IF(VLOOKUP(BH183,Fundamentus!A:U,8,FALSE)&lt;1,"Saudável",IF(VLOOKUP(BH183,Fundamentus!A:U,8,FALSE)&lt;3,"Estável",IF(VLOOKUP(BH183,Fundamentus!A:U,8,FALSE)&gt;3,"Alerta","n/a"))))</f>
        <v>Alerta</v>
      </c>
      <c r="EP183" s="36" t="str">
        <f t="shared" si="182"/>
        <v>Bom</v>
      </c>
      <c r="EQ183" s="20" t="str">
        <f>IF(VLOOKUP(BH183,Fundamentus!A:U,12,FALSE)&lt;2,"Subvalorizada",IF(VLOOKUP(BH183,Fundamentus!A:U,12,FALSE)&lt;6,"Muita barata",IF(VLOOKUP(BH183,Fundamentus!A:U,12,FALSE)&lt;6,"Barata",IF(VLOOKUP(BH183,Fundamentus!A:U,12,FALSE)&lt;8,"Atrativa",IF(VLOOKUP(BH183,Fundamentus!A:U,12,FALSE)&gt;8,"Supervalorizada","n/a")))))</f>
        <v>Supervalorizada</v>
      </c>
      <c r="ES183" s="20" t="str">
        <f>IF(VLOOKUP(BH183,Fundamentus!A:U,17,FALSE)&lt;0.1,"Fraco retorno",IF(VLOOKUP(BH183,Fundamentus!A:U,17,FALSE)&gt;0.1,"Bom retorno","n/a"))</f>
        <v>Fraco retorno</v>
      </c>
      <c r="ET183" s="20" t="str">
        <f>IF(VLOOKUP(BH183,Fundamentus!A:U,16,FALSE)&lt;0.1,"Ineficiente",IF(VLOOKUP(BH183,Fundamentus!A:U,16,FALSE)&gt;0.1,"Eficiente","n/a"))</f>
        <v>Ineficiente</v>
      </c>
      <c r="EU183" s="41" t="str">
        <f>IF(VLOOKUP(BH183,Fundamentus!A:U,16,FALSE)&lt;0.1,"Oper. Ineficiente",IF(VLOOKUP(BH183,Fundamentus!A:U,16,FALSE)&gt;0.1,"Oper.Eficiente","n/a"))</f>
        <v>Oper. Ineficiente</v>
      </c>
      <c r="EV183" s="42">
        <f>VLOOKUP(BH183,Fundamentus!A:U,14,FALSE)</f>
        <v>4.5699999999999998E-2</v>
      </c>
      <c r="EW183" s="20" t="str">
        <f>IF(VLOOKUP(BH183,Fundamentus!A:U,21,FALSE)&lt;0,"Negativo",IF(VLOOKUP(BH183,Fundamentus!A:U,21,FALSE)&lt;0.05,"Fraco",IF(VLOOKUP(BH183,Fundamentus!A:U,21,FALSE)&lt;0.1,"Bom",IF(VLOOKUP(BH183,Fundamentus!A:U,21,FALSE)&gt;0.1,"Muito bom","n/a"))))</f>
        <v>Fraco</v>
      </c>
      <c r="EY183" s="37" t="str">
        <f>IF(VLOOKUP(BH183,Fundamentus!A:U,15,FALSE)&gt;1,"Bom",IF(VLOOKUP(BH183,Fundamentus!A:U,15,FALSE)&lt;1,"Ruim","n/a"))</f>
        <v>Bom</v>
      </c>
      <c r="EZ183" s="20" t="str">
        <f>IF(VLOOKUP(BH183,Fundamentus!A:U,20,FALSE)&lt;0.5,"Baixa",IF(VLOOKUP(BH183,Fundamentus!A:U,20,FALSE)&lt;1,"Moderada",IF(VLOOKUP(BH183,Fundamentus!A:U,20,FALSE)&lt;2,"Alerta",IF(VLOOKUP(BH183,Fundamentus!A:U,20,FALSE)&gt;2,"Alta","n/a"))))</f>
        <v>Baixa</v>
      </c>
      <c r="FA183" s="10"/>
    </row>
    <row r="184" spans="1:157" s="5" customFormat="1" ht="11.25" hidden="1" x14ac:dyDescent="0.2">
      <c r="A184" s="4">
        <v>2.09</v>
      </c>
      <c r="B184" s="4">
        <v>1.98</v>
      </c>
      <c r="C184" s="4">
        <v>2.17</v>
      </c>
      <c r="D184" s="4">
        <v>2.16</v>
      </c>
      <c r="E184" s="4">
        <v>2.13</v>
      </c>
      <c r="F184" s="4">
        <v>2.06</v>
      </c>
      <c r="G184" s="4">
        <v>1.99</v>
      </c>
      <c r="H184" s="4">
        <v>1.91</v>
      </c>
      <c r="I184" s="4">
        <v>1.97</v>
      </c>
      <c r="J184" s="4">
        <v>2.1800000000000002</v>
      </c>
      <c r="K184" s="4">
        <v>2.1800000000000002</v>
      </c>
      <c r="L184" s="4">
        <v>1.96</v>
      </c>
      <c r="M184" s="4">
        <v>1.99</v>
      </c>
      <c r="N184" s="4">
        <v>1.95</v>
      </c>
      <c r="O184" s="4">
        <v>2.12</v>
      </c>
      <c r="P184" s="4">
        <v>1.79</v>
      </c>
      <c r="Q184" s="4">
        <v>2</v>
      </c>
      <c r="R184" s="4">
        <v>1.86</v>
      </c>
      <c r="S184" s="4">
        <v>1.84</v>
      </c>
      <c r="T184" s="4">
        <v>1.82</v>
      </c>
      <c r="U184" s="4">
        <v>1.59</v>
      </c>
      <c r="V184" s="4">
        <v>1.64</v>
      </c>
      <c r="W184" s="4">
        <v>1.65</v>
      </c>
      <c r="X184" s="4">
        <v>1.61</v>
      </c>
      <c r="Y184" s="4">
        <v>1.55</v>
      </c>
      <c r="Z184" s="4">
        <v>1.62</v>
      </c>
      <c r="AA184" s="4">
        <v>1.59</v>
      </c>
      <c r="AB184" s="4">
        <v>1.51</v>
      </c>
      <c r="AC184" s="4">
        <v>1.46</v>
      </c>
      <c r="AD184" s="4">
        <v>1.44</v>
      </c>
      <c r="AE184" s="4">
        <v>1.27</v>
      </c>
      <c r="AF184" s="4">
        <v>1.17</v>
      </c>
      <c r="AG184" s="4">
        <v>1.1399999999999999</v>
      </c>
      <c r="AH184" s="4">
        <v>1.1000000000000001</v>
      </c>
      <c r="AI184" s="4">
        <v>1.06</v>
      </c>
      <c r="AJ184" s="4">
        <v>1.05</v>
      </c>
      <c r="AK184" s="4">
        <v>1.1499999999999999</v>
      </c>
      <c r="AL184" s="4">
        <v>1.1399999999999999</v>
      </c>
      <c r="AM184" s="4">
        <v>1.0900000000000001</v>
      </c>
      <c r="AN184" s="4">
        <v>1.24</v>
      </c>
      <c r="AO184" s="4">
        <v>1.1599999999999999</v>
      </c>
      <c r="AP184" s="4">
        <v>1.27</v>
      </c>
      <c r="AQ184" s="4">
        <v>1.24</v>
      </c>
      <c r="AR184" s="4">
        <v>1.1299999999999999</v>
      </c>
      <c r="AS184" s="4">
        <v>1.1599999999999999</v>
      </c>
      <c r="AT184" s="4">
        <v>1.21</v>
      </c>
      <c r="AU184" s="4">
        <v>1.2050000000000001</v>
      </c>
      <c r="AV184" s="4">
        <v>1.26</v>
      </c>
      <c r="AW184" s="4">
        <v>1.22</v>
      </c>
      <c r="AX184" s="4">
        <v>1.18</v>
      </c>
      <c r="AY184" s="12">
        <v>1.23</v>
      </c>
      <c r="AZ184" s="12">
        <v>1.3</v>
      </c>
      <c r="BA184" s="12">
        <v>1.22</v>
      </c>
      <c r="BB184" s="18">
        <v>1.29</v>
      </c>
      <c r="BC184" s="63">
        <v>1.26</v>
      </c>
      <c r="BD184" s="63">
        <v>1</v>
      </c>
      <c r="BE184" s="63">
        <v>1.04</v>
      </c>
      <c r="BF184" s="63">
        <v>1.07</v>
      </c>
      <c r="BG184" s="91" cm="1">
        <f t="array" aca="1" ref="BG184" ca="1">_FV(EE184,"Preço")</f>
        <v>1.07</v>
      </c>
      <c r="BH184" s="93" t="s">
        <v>181</v>
      </c>
      <c r="BI184" s="32" cm="1">
        <f t="array" aca="1" ref="BI184" ca="1">_FV(EE184,"Beta")</f>
        <v>1.8429</v>
      </c>
      <c r="BJ184" s="96" cm="1">
        <f t="array" aca="1" ref="BJ184" ca="1">_FV(EE184,"Variação (%)",TRUE)</f>
        <v>-1.8349000000000001E-2</v>
      </c>
      <c r="BK184" s="49"/>
      <c r="BL184" s="49"/>
      <c r="BN184" s="32"/>
      <c r="BO184" s="20" cm="1">
        <f t="array" aca="1" ref="BO184" ca="1">_FV(EE184,"Baixo")</f>
        <v>1.07</v>
      </c>
      <c r="BP184" s="20" cm="1">
        <f t="array" aca="1" ref="BP184" ca="1">_FV(EE184,"Alto")</f>
        <v>1.1000000000000001</v>
      </c>
      <c r="BQ184" s="32"/>
      <c r="BR184" s="74" t="e">
        <f ca="1">SQRT(22.5*(BG184/VLOOKUP(BH184,Fundamentus!A:U,3,FALSE))*(BG184/VLOOKUP(BH184,Fundamentus!A:U,4,FALSE)))</f>
        <v>#NUM!</v>
      </c>
      <c r="BT184" s="73">
        <f t="shared" ca="1" si="158"/>
        <v>0</v>
      </c>
      <c r="BU184" s="36">
        <f t="shared" si="159"/>
        <v>-0.50239234449760761</v>
      </c>
      <c r="BV184" s="8"/>
      <c r="BW184" s="72">
        <f t="shared" si="160"/>
        <v>1</v>
      </c>
      <c r="BX184" s="72">
        <f t="shared" si="161"/>
        <v>1.5287068965517241</v>
      </c>
      <c r="BY184" s="72">
        <f t="shared" si="162"/>
        <v>2.1800000000000002</v>
      </c>
      <c r="BZ184" s="17"/>
      <c r="CA184" s="17"/>
      <c r="CB184" s="43">
        <f t="shared" si="163"/>
        <v>0.75823214471023437</v>
      </c>
      <c r="CC184" s="18">
        <f t="shared" si="164"/>
        <v>0.95791940018739297</v>
      </c>
      <c r="CD184" s="43">
        <f t="shared" si="165"/>
        <v>1.1576066556645515</v>
      </c>
      <c r="CE184" s="98">
        <f t="shared" ca="1" si="166"/>
        <v>0.56128068636522244</v>
      </c>
      <c r="CF184" s="17"/>
      <c r="CG184" s="20">
        <f t="shared" si="167"/>
        <v>-0.52666666666666684</v>
      </c>
      <c r="CH184" s="20">
        <f t="shared" si="168"/>
        <v>0.23666666666666658</v>
      </c>
      <c r="CI184" s="20">
        <f t="shared" si="169"/>
        <v>0.65333333333333332</v>
      </c>
      <c r="CJ184" s="49">
        <f t="shared" si="170"/>
        <v>1.4166666666666667</v>
      </c>
      <c r="CK184" s="20">
        <f t="shared" si="171"/>
        <v>1.8333333333333335</v>
      </c>
      <c r="CL184" s="20">
        <f t="shared" si="172"/>
        <v>2.5966666666666667</v>
      </c>
      <c r="CM184" s="20">
        <f t="shared" si="173"/>
        <v>3.0133333333333336</v>
      </c>
      <c r="CN184" s="2" cm="1">
        <f t="array" aca="1" ref="CN184" ca="1">MAX(_xlfn._xlws.FILTER(CG184:CM184,CG184:CM184&lt;BG184))</f>
        <v>0.65333333333333332</v>
      </c>
      <c r="CO184" s="2" cm="1">
        <f t="array" aca="1" ref="CO184" ca="1">MIN(_xlfn._xlws.FILTER($CG184:$CM184,$CG184:$CM184&gt;BG184))</f>
        <v>1.4166666666666667</v>
      </c>
      <c r="CP184" s="19">
        <f t="shared" ca="1" si="200"/>
        <v>1.1683673469387759</v>
      </c>
      <c r="CQ184" s="23">
        <f t="shared" ca="1" si="201"/>
        <v>-0.58418367346938793</v>
      </c>
      <c r="CR184" s="23">
        <f t="shared" ca="1" si="202"/>
        <v>-0.38945578231292527</v>
      </c>
      <c r="CS184" s="23">
        <f t="shared" ca="1" si="203"/>
        <v>-0.23367346938775518</v>
      </c>
      <c r="CT184" s="23">
        <f t="shared" ca="1" si="204"/>
        <v>-0.12981859410430843</v>
      </c>
      <c r="CU184" s="23">
        <f t="shared" ca="1" si="205"/>
        <v>-6.8727490996398577E-2</v>
      </c>
      <c r="CV184" s="23">
        <f t="shared" ca="1" si="206"/>
        <v>-3.5405071119356847E-2</v>
      </c>
      <c r="CW184" s="23">
        <f t="shared" ca="1" si="207"/>
        <v>-1.7974882260596552E-2</v>
      </c>
      <c r="CX184" s="24">
        <f t="shared" ca="1" si="208"/>
        <v>1.7974882260596552E-2</v>
      </c>
      <c r="CY184" s="24">
        <f t="shared" ca="1" si="209"/>
        <v>3.5405071119356847E-2</v>
      </c>
      <c r="CZ184" s="24">
        <f t="shared" ca="1" si="210"/>
        <v>6.8727490996398577E-2</v>
      </c>
      <c r="DA184" s="24">
        <f t="shared" ca="1" si="211"/>
        <v>0.12981859410430843</v>
      </c>
      <c r="DB184" s="24">
        <f t="shared" ca="1" si="212"/>
        <v>0.23367346938775518</v>
      </c>
      <c r="DC184" s="24">
        <f t="shared" ca="1" si="213"/>
        <v>0.38945578231292527</v>
      </c>
      <c r="DD184" s="24">
        <f t="shared" ca="1" si="214"/>
        <v>0.58418367346938793</v>
      </c>
      <c r="DF184" s="19" cm="1">
        <f t="array" aca="1" ref="DF184" ca="1">MAX(_xlfn._xlws.FILTER(CQ184:DD184,CQ184:DD184&lt;BJ184))</f>
        <v>-3.5405071119356847E-2</v>
      </c>
      <c r="DG184" s="19" cm="1">
        <f t="array" aca="1" ref="DG184" ca="1">MIN(_xlfn._xlws.FILTER(CQ184:DD184,CQ184:DD184&gt;BJ184))</f>
        <v>-1.7974882260596552E-2</v>
      </c>
      <c r="DH184" s="2" cm="1">
        <f t="array" aca="1" ref="DH184" ca="1">_FV(EE184,"Fechamento anterior",TRUE)</f>
        <v>1.0900000000000001</v>
      </c>
      <c r="DI184" s="36">
        <f t="shared" ca="1" si="174"/>
        <v>0.97855780016826444</v>
      </c>
      <c r="DJ184" s="18">
        <f t="shared" ca="1" si="215"/>
        <v>1.0514084724799011</v>
      </c>
      <c r="DK184" s="18">
        <f t="shared" ca="1" si="216"/>
        <v>1.0704073783359498</v>
      </c>
      <c r="DL184" s="9"/>
      <c r="DM184" s="9"/>
      <c r="DN184" s="9"/>
      <c r="DO184" s="9"/>
      <c r="DP184" s="79">
        <v>3.459545635711439E-2</v>
      </c>
      <c r="DQ184" s="79">
        <v>4.0373499333036925E-2</v>
      </c>
      <c r="DR184" s="79">
        <v>4.0373499333036925E-2</v>
      </c>
      <c r="DS184" s="79">
        <f t="shared" ca="1" si="175"/>
        <v>1.7430188858760295E-2</v>
      </c>
      <c r="DT184" s="47"/>
      <c r="DU184" s="43">
        <f t="shared" si="176"/>
        <v>9.9843627738579285E-2</v>
      </c>
      <c r="DV184" s="83">
        <f t="shared" ca="1" si="177"/>
        <v>2.2690000000000001</v>
      </c>
      <c r="DW184" s="83">
        <f t="shared" ca="1" si="178"/>
        <v>3.6778</v>
      </c>
      <c r="DX184" s="83">
        <f t="shared" ca="1" si="179"/>
        <v>-1.4087999999999998</v>
      </c>
      <c r="DY184" s="67"/>
      <c r="DZ184" s="67"/>
      <c r="EA184" s="44"/>
      <c r="EB184" s="44">
        <v>1061900</v>
      </c>
      <c r="EC184" s="44" cm="1">
        <f t="array" aca="1" ref="EC184" ca="1">_FV(EE184,"Volume")</f>
        <v>1208000</v>
      </c>
      <c r="EE184" s="5" t="e" vm="186">
        <v>#VALUE!</v>
      </c>
      <c r="EG184" s="10" cm="1">
        <f t="array" aca="1" ref="EG184" ca="1">_FV(EE184,"Ações em circulação",TRUE)</f>
        <v>820539200</v>
      </c>
      <c r="EH184" s="21">
        <f>VLOOKUP(BH184,Fundamentus!A:U,5,FALSE)</f>
        <v>0.26100000000000001</v>
      </c>
      <c r="EI184" s="2">
        <f t="shared" ca="1" si="180"/>
        <v>3363896337.1647511</v>
      </c>
      <c r="EJ184" s="20">
        <v>-184341519.27662838</v>
      </c>
      <c r="EK184" s="20">
        <f t="shared" ca="1" si="181"/>
        <v>-184341519.27662838</v>
      </c>
      <c r="EL184" s="2"/>
      <c r="EM184" s="40" t="str">
        <f>IF(VLOOKUP(BH184,Fundamentus!A:U,3,FALSE)&lt;15,"Bom",IF(VLOOKUP(BH184,Fundamentus!A:U,3,FALSE)&gt;15,"Ruim","n/a"))</f>
        <v>Bom</v>
      </c>
      <c r="EN184" s="36" t="str">
        <f>IF(VLOOKUP(BH184,Fundamentus!A:U,4,FALSE)&lt;1,"Baixo",IF(VLOOKUP(BH184,Fundamentus!A:U,4,FALSE)&lt;1.5,"Moderado",IF(VLOOKUP(BH184,Fundamentus!A:U,4,FALSE)&gt;1.5,"Alto","n/a")))</f>
        <v>Baixo</v>
      </c>
      <c r="EO184" s="20" t="str">
        <f>IF(VLOOKUP(BH184,Fundamentus!A:U,8,FALSE)&lt;0,"Risco elevado",IF(VLOOKUP(BH184,Fundamentus!A:U,8,FALSE)&lt;1,"Saudável",IF(VLOOKUP(BH184,Fundamentus!A:U,8,FALSE)&lt;3,"Estável",IF(VLOOKUP(BH184,Fundamentus!A:U,8,FALSE)&gt;3,"Alerta","n/a"))))</f>
        <v>Saudável</v>
      </c>
      <c r="EP184" s="36" t="str">
        <f t="shared" si="182"/>
        <v>Ruim</v>
      </c>
      <c r="EQ184" s="20" t="str">
        <f>IF(VLOOKUP(BH184,Fundamentus!A:U,12,FALSE)&lt;2,"Subvalorizada",IF(VLOOKUP(BH184,Fundamentus!A:U,12,FALSE)&lt;6,"Muita barata",IF(VLOOKUP(BH184,Fundamentus!A:U,12,FALSE)&lt;6,"Barata",IF(VLOOKUP(BH184,Fundamentus!A:U,12,FALSE)&lt;8,"Atrativa",IF(VLOOKUP(BH184,Fundamentus!A:U,12,FALSE)&gt;8,"Supervalorizada","n/a")))))</f>
        <v>Subvalorizada</v>
      </c>
      <c r="ER184" s="2"/>
      <c r="ES184" s="20" t="str">
        <f>IF(VLOOKUP(BH184,Fundamentus!A:U,17,FALSE)&lt;0.1,"Fraco retorno",IF(VLOOKUP(BH184,Fundamentus!A:U,17,FALSE)&gt;0.1,"Bom retorno","n/a"))</f>
        <v>Fraco retorno</v>
      </c>
      <c r="ET184" s="20" t="str">
        <f>IF(VLOOKUP(BH184,Fundamentus!A:U,16,FALSE)&lt;0.1,"Ineficiente",IF(VLOOKUP(BH184,Fundamentus!A:U,16,FALSE)&gt;0.1,"Eficiente","n/a"))</f>
        <v>Ineficiente</v>
      </c>
      <c r="EU184" s="41" t="str">
        <f>IF(VLOOKUP(BH184,Fundamentus!A:U,16,FALSE)&lt;0.1,"Oper. Ineficiente",IF(VLOOKUP(BH184,Fundamentus!A:U,16,FALSE)&gt;0.1,"Oper.Eficiente","n/a"))</f>
        <v>Oper. Ineficiente</v>
      </c>
      <c r="EV184" s="42">
        <f>VLOOKUP(BH184,Fundamentus!A:U,14,FALSE)</f>
        <v>-5.4800000000000001E-2</v>
      </c>
      <c r="EW184" s="20" t="str">
        <f>IF(VLOOKUP(BH184,Fundamentus!A:U,21,FALSE)&lt;0,"Negativo",IF(VLOOKUP(BH184,Fundamentus!A:U,21,FALSE)&lt;0.05,"Fraco",IF(VLOOKUP(BH184,Fundamentus!A:U,21,FALSE)&lt;0.1,"Bom",IF(VLOOKUP(BH184,Fundamentus!A:U,21,FALSE)&gt;0.1,"Muito bom","n/a"))))</f>
        <v>Negativo</v>
      </c>
      <c r="EY184" s="37" t="str">
        <f>IF(VLOOKUP(BH184,Fundamentus!A:U,15,FALSE)&gt;1,"Bom",IF(VLOOKUP(BH184,Fundamentus!A:U,15,FALSE)&lt;1,"Ruim","n/a"))</f>
        <v>Bom</v>
      </c>
      <c r="EZ184" s="20" t="str">
        <f>IF(VLOOKUP(BH184,Fundamentus!A:U,20,FALSE)&lt;0.5,"Baixa",IF(VLOOKUP(BH184,Fundamentus!A:U,20,FALSE)&lt;1,"Moderada",IF(VLOOKUP(BH184,Fundamentus!A:U,20,FALSE)&lt;2,"Alerta",IF(VLOOKUP(BH184,Fundamentus!A:U,20,FALSE)&gt;2,"Alta","n/a"))))</f>
        <v>Baixa</v>
      </c>
      <c r="FA184" s="10"/>
    </row>
    <row r="185" spans="1:157" s="2" customFormat="1" ht="11.25" x14ac:dyDescent="0.2">
      <c r="A185" s="4">
        <v>15.7</v>
      </c>
      <c r="B185" s="4">
        <v>14.16</v>
      </c>
      <c r="C185" s="4">
        <v>13.8</v>
      </c>
      <c r="D185" s="4">
        <v>13.81</v>
      </c>
      <c r="E185" s="4">
        <v>13.67</v>
      </c>
      <c r="F185" s="4">
        <v>14.56</v>
      </c>
      <c r="G185" s="4">
        <v>14.31</v>
      </c>
      <c r="H185" s="4">
        <v>14.73</v>
      </c>
      <c r="I185" s="4">
        <v>14.99</v>
      </c>
      <c r="J185" s="4">
        <v>15.55</v>
      </c>
      <c r="K185" s="4">
        <v>16.350000000000001</v>
      </c>
      <c r="L185" s="4">
        <v>16.149999999999999</v>
      </c>
      <c r="M185" s="4">
        <v>15.64</v>
      </c>
      <c r="N185" s="4">
        <v>14.85</v>
      </c>
      <c r="O185" s="4">
        <v>15.44</v>
      </c>
      <c r="P185" s="4">
        <v>15.52</v>
      </c>
      <c r="Q185" s="4">
        <v>15.98</v>
      </c>
      <c r="R185" s="4">
        <v>15.65</v>
      </c>
      <c r="S185" s="4">
        <v>16.28</v>
      </c>
      <c r="T185" s="4">
        <v>16.25</v>
      </c>
      <c r="U185" s="4">
        <v>15.78</v>
      </c>
      <c r="V185" s="4">
        <v>15.54</v>
      </c>
      <c r="W185" s="4">
        <v>15.6</v>
      </c>
      <c r="X185" s="4">
        <v>15</v>
      </c>
      <c r="Y185" s="4">
        <v>14.4</v>
      </c>
      <c r="Z185" s="4">
        <v>14.26</v>
      </c>
      <c r="AA185" s="4">
        <v>14.21</v>
      </c>
      <c r="AB185" s="4">
        <v>14.06</v>
      </c>
      <c r="AC185" s="4">
        <v>14</v>
      </c>
      <c r="AD185" s="4">
        <v>13.92</v>
      </c>
      <c r="AE185" s="4">
        <v>13.44</v>
      </c>
      <c r="AF185" s="4">
        <v>13.77</v>
      </c>
      <c r="AG185" s="4">
        <v>13.81</v>
      </c>
      <c r="AH185" s="4">
        <v>13.89</v>
      </c>
      <c r="AI185" s="4">
        <v>13.65</v>
      </c>
      <c r="AJ185" s="4">
        <v>13.31</v>
      </c>
      <c r="AK185" s="4">
        <v>13.33</v>
      </c>
      <c r="AL185" s="4">
        <v>13.41</v>
      </c>
      <c r="AM185" s="4">
        <v>13.6</v>
      </c>
      <c r="AN185" s="4">
        <v>13.41</v>
      </c>
      <c r="AO185" s="4">
        <v>13.35</v>
      </c>
      <c r="AP185" s="4">
        <v>13.5</v>
      </c>
      <c r="AQ185" s="4">
        <v>13.35</v>
      </c>
      <c r="AR185" s="4">
        <v>12.25</v>
      </c>
      <c r="AS185" s="4">
        <v>12.97</v>
      </c>
      <c r="AT185" s="4">
        <v>12.95</v>
      </c>
      <c r="AU185" s="4">
        <v>12.785</v>
      </c>
      <c r="AV185" s="4">
        <v>12.3</v>
      </c>
      <c r="AW185" s="4">
        <v>12.1</v>
      </c>
      <c r="AX185" s="4">
        <v>12.35</v>
      </c>
      <c r="AY185" s="12">
        <v>12.54</v>
      </c>
      <c r="AZ185" s="12">
        <v>12.5</v>
      </c>
      <c r="BA185" s="12">
        <v>12.57</v>
      </c>
      <c r="BB185" s="18">
        <v>13.75</v>
      </c>
      <c r="BC185" s="63">
        <v>15.28</v>
      </c>
      <c r="BD185" s="63">
        <v>17.989999999999998</v>
      </c>
      <c r="BE185" s="63">
        <v>18.79</v>
      </c>
      <c r="BF185" s="63">
        <v>18.8</v>
      </c>
      <c r="BG185" s="91" cm="1">
        <f t="array" aca="1" ref="BG185" ca="1">_FV(EE185,"Preço")</f>
        <v>18.399999999999999</v>
      </c>
      <c r="BH185" s="90" t="s">
        <v>11</v>
      </c>
      <c r="BI185" s="32" cm="1">
        <f t="array" aca="1" ref="BI185" ca="1">_FV(EE185,"Beta")</f>
        <v>0.94910000000000005</v>
      </c>
      <c r="BJ185" s="96" cm="1">
        <f t="array" aca="1" ref="BJ185" ca="1">_FV(EE185,"Variação (%)",TRUE)</f>
        <v>-2.2835999999999999E-2</v>
      </c>
      <c r="BK185" s="18">
        <v>18.88</v>
      </c>
      <c r="BL185" s="18">
        <v>5149</v>
      </c>
      <c r="BN185" s="32"/>
      <c r="BO185" s="20" cm="1">
        <f t="array" aca="1" ref="BO185" ca="1">_FV(EE185,"Baixo")</f>
        <v>18.260000000000002</v>
      </c>
      <c r="BP185" s="20" cm="1">
        <f t="array" aca="1" ref="BP185" ca="1">_FV(EE185,"Alto")</f>
        <v>18.63</v>
      </c>
      <c r="BQ185" s="32"/>
      <c r="BR185" s="20">
        <f ca="1">SQRT(22.5*(BG185/VLOOKUP(BH185,Fundamentus!A:U,3,FALSE))*(BG185/VLOOKUP(BH185,Fundamentus!A:U,4,FALSE)))</f>
        <v>40.485488404889757</v>
      </c>
      <c r="BT185" s="73">
        <f t="shared" ca="1" si="158"/>
        <v>-2.1276595744680965E-2</v>
      </c>
      <c r="BU185" s="36">
        <f t="shared" si="159"/>
        <v>0.19681528662420383</v>
      </c>
      <c r="BV185" s="8"/>
      <c r="BW185" s="72">
        <f t="shared" si="160"/>
        <v>12.1</v>
      </c>
      <c r="BX185" s="72">
        <f t="shared" si="161"/>
        <v>14.41215517241379</v>
      </c>
      <c r="BY185" s="72">
        <f t="shared" si="162"/>
        <v>18.8</v>
      </c>
      <c r="BZ185" s="17"/>
      <c r="CA185" s="17"/>
      <c r="CB185" s="46">
        <f t="shared" si="163"/>
        <v>17.635219696980297</v>
      </c>
      <c r="CC185" s="18">
        <f t="shared" si="164"/>
        <v>20.522727272727934</v>
      </c>
      <c r="CD185" s="46">
        <f t="shared" si="165"/>
        <v>23.410234848475572</v>
      </c>
      <c r="CE185" s="75">
        <f t="shared" ca="1" si="166"/>
        <v>-0.73514171549084717</v>
      </c>
      <c r="CF185" s="17"/>
      <c r="CG185" s="20">
        <f t="shared" si="167"/>
        <v>7.6333333333333311</v>
      </c>
      <c r="CH185" s="20">
        <f t="shared" si="168"/>
        <v>9.8666666666666654</v>
      </c>
      <c r="CI185" s="20">
        <f t="shared" si="169"/>
        <v>14.333333333333332</v>
      </c>
      <c r="CJ185" s="49">
        <f t="shared" si="170"/>
        <v>16.566666666666666</v>
      </c>
      <c r="CK185" s="20">
        <f t="shared" si="171"/>
        <v>21.033333333333331</v>
      </c>
      <c r="CL185" s="20">
        <f t="shared" si="172"/>
        <v>23.266666666666666</v>
      </c>
      <c r="CM185" s="20">
        <f t="shared" si="173"/>
        <v>27.733333333333334</v>
      </c>
      <c r="CN185" s="2" cm="1">
        <f t="array" aca="1" ref="CN185" ca="1">MAX(_xlfn._xlws.FILTER(CG185:CM185,CG185:CM185&lt;BG185))</f>
        <v>16.566666666666666</v>
      </c>
      <c r="CO185" s="2" cm="1">
        <f t="array" aca="1" ref="CO185" ca="1">MIN(_xlfn._xlws.FILTER($CG185:$CM185,$CG185:$CM185&gt;BG185))</f>
        <v>21.033333333333331</v>
      </c>
      <c r="CP185" s="19">
        <f t="shared" ca="1" si="200"/>
        <v>0.26961770623742454</v>
      </c>
      <c r="CQ185" s="23">
        <f t="shared" ca="1" si="201"/>
        <v>-0.13480885311871227</v>
      </c>
      <c r="CR185" s="23">
        <f t="shared" ca="1" si="202"/>
        <v>-8.9872568745808179E-2</v>
      </c>
      <c r="CS185" s="23">
        <f t="shared" ca="1" si="203"/>
        <v>-5.3923541247484906E-2</v>
      </c>
      <c r="CT185" s="23">
        <f t="shared" ca="1" si="204"/>
        <v>-2.9957522915269392E-2</v>
      </c>
      <c r="CU185" s="23">
        <f t="shared" ca="1" si="205"/>
        <v>-1.5859865072789678E-2</v>
      </c>
      <c r="CV185" s="23">
        <f t="shared" ca="1" si="206"/>
        <v>-8.1702335223461982E-3</v>
      </c>
      <c r="CW185" s="23">
        <f t="shared" ca="1" si="207"/>
        <v>-4.147964711344993E-3</v>
      </c>
      <c r="CX185" s="24">
        <f t="shared" ca="1" si="208"/>
        <v>4.147964711344993E-3</v>
      </c>
      <c r="CY185" s="24">
        <f t="shared" ca="1" si="209"/>
        <v>8.1702335223461982E-3</v>
      </c>
      <c r="CZ185" s="24">
        <f t="shared" ca="1" si="210"/>
        <v>1.5859865072789678E-2</v>
      </c>
      <c r="DA185" s="24">
        <f t="shared" ca="1" si="211"/>
        <v>2.9957522915269392E-2</v>
      </c>
      <c r="DB185" s="24">
        <f t="shared" ca="1" si="212"/>
        <v>5.3923541247484906E-2</v>
      </c>
      <c r="DC185" s="24">
        <f t="shared" ca="1" si="213"/>
        <v>8.9872568745808179E-2</v>
      </c>
      <c r="DD185" s="24">
        <f t="shared" ca="1" si="214"/>
        <v>0.13480885311871227</v>
      </c>
      <c r="DF185" s="19" cm="1">
        <f t="array" aca="1" ref="DF185" ca="1">MAX(_xlfn._xlws.FILTER(CQ185:DD185,CQ185:DD185&lt;BJ185))</f>
        <v>-2.9957522915269392E-2</v>
      </c>
      <c r="DG185" s="19" cm="1">
        <f t="array" aca="1" ref="DG185" ca="1">MIN(_xlfn._xlws.FILTER(CQ185:DD185,CQ185:DD185&gt;BJ185))</f>
        <v>-1.5859865072789678E-2</v>
      </c>
      <c r="DH185" s="2" cm="1">
        <f t="array" aca="1" ref="DH185" ca="1">_FV(EE185,"Fechamento anterior",TRUE)</f>
        <v>18.829999999999998</v>
      </c>
      <c r="DI185" s="36">
        <f t="shared" ca="1" si="174"/>
        <v>0.50516354103090344</v>
      </c>
      <c r="DJ185" s="18">
        <f t="shared" ca="1" si="215"/>
        <v>18.265899843505476</v>
      </c>
      <c r="DK185" s="18">
        <f t="shared" ca="1" si="216"/>
        <v>18.531358740679369</v>
      </c>
      <c r="DL185" s="9"/>
      <c r="DM185" s="9"/>
      <c r="DN185" s="9"/>
      <c r="DO185" s="9"/>
      <c r="DP185" s="79">
        <v>2.4150655905530546E-2</v>
      </c>
      <c r="DQ185" s="79">
        <v>6.7957798801327471E-3</v>
      </c>
      <c r="DR185" s="79">
        <v>6.3038871420593185E-3</v>
      </c>
      <c r="DS185" s="79">
        <f t="shared" ca="1" si="175"/>
        <v>1.4097657842479714E-2</v>
      </c>
      <c r="DT185" s="47"/>
      <c r="DU185" s="43">
        <f t="shared" si="176"/>
        <v>1.4437537878738189</v>
      </c>
      <c r="DV185" s="83">
        <f t="shared" ca="1" si="177"/>
        <v>1.3752</v>
      </c>
      <c r="DW185" s="83">
        <f t="shared" ca="1" si="178"/>
        <v>3.2326999999999999</v>
      </c>
      <c r="DX185" s="84">
        <f ca="1">DV185-DW185</f>
        <v>-1.8574999999999999</v>
      </c>
      <c r="DY185" s="67"/>
      <c r="DZ185" s="67"/>
      <c r="EA185" s="44" cm="1">
        <f t="array" aca="1" ref="EA185" ca="1">_FV(EE185,"Média de volume",TRUE)</f>
        <v>73350</v>
      </c>
      <c r="EB185" s="44">
        <v>56100</v>
      </c>
      <c r="EC185" s="44" cm="1">
        <f t="array" aca="1" ref="EC185" ca="1">_FV(EE185,"Volume")</f>
        <v>65600</v>
      </c>
      <c r="EE185" s="2" t="e" vm="187">
        <v>#VALUE!</v>
      </c>
      <c r="EG185" s="10" cm="1">
        <f t="array" aca="1" ref="EG185" ca="1">_FV(EE185,"Ações em circulação",TRUE)</f>
        <v>92619260</v>
      </c>
      <c r="EH185" s="21">
        <f>VLOOKUP(BH185,Fundamentus!A:U,5,FALSE)</f>
        <v>0.58099999999999996</v>
      </c>
      <c r="EI185" s="2">
        <f t="shared" ca="1" si="180"/>
        <v>2933208922.5473318</v>
      </c>
      <c r="EJ185" s="20">
        <v>243654013.34664372</v>
      </c>
      <c r="EK185" s="20">
        <f t="shared" ca="1" si="181"/>
        <v>238469885.40309808</v>
      </c>
      <c r="EM185" s="40" t="str">
        <f>IF(VLOOKUP(BH185,Fundamentus!A:U,3,FALSE)&lt;15,"Bom",IF(VLOOKUP(BH185,Fundamentus!A:U,3,FALSE)&gt;15,"Ruim","n/a"))</f>
        <v>Bom</v>
      </c>
      <c r="EN185" s="36" t="str">
        <f>IF(VLOOKUP(BH185,Fundamentus!A:U,4,FALSE)&lt;1,"Baixo",IF(VLOOKUP(BH185,Fundamentus!A:U,4,FALSE)&lt;1.5,"Moderado",IF(VLOOKUP(BH185,Fundamentus!A:U,4,FALSE)&gt;1.5,"Alto","n/a")))</f>
        <v>Baixo</v>
      </c>
      <c r="EO185" s="20" t="str">
        <f>IF(VLOOKUP(BH185,Fundamentus!A:U,8,FALSE)&lt;0,"Risco elevado",IF(VLOOKUP(BH185,Fundamentus!A:U,8,FALSE)&lt;1,"Saudável",IF(VLOOKUP(BH185,Fundamentus!A:U,8,FALSE)&lt;3,"Estável",IF(VLOOKUP(BH185,Fundamentus!A:U,8,FALSE)&gt;3,"Alerta","n/a"))))</f>
        <v>Estável</v>
      </c>
      <c r="EP185" s="36" t="str">
        <f t="shared" si="182"/>
        <v>Ruim</v>
      </c>
      <c r="EQ185" s="20" t="str">
        <f>IF(VLOOKUP(BH185,Fundamentus!A:U,12,FALSE)&lt;2,"Subvalorizada",IF(VLOOKUP(BH185,Fundamentus!A:U,12,FALSE)&lt;6,"Muita barata",IF(VLOOKUP(BH185,Fundamentus!A:U,12,FALSE)&lt;6,"Barata",IF(VLOOKUP(BH185,Fundamentus!A:U,12,FALSE)&lt;8,"Atrativa",IF(VLOOKUP(BH185,Fundamentus!A:U,12,FALSE)&gt;8,"Supervalorizada","n/a")))))</f>
        <v>Muita barata</v>
      </c>
      <c r="ES185" s="20" t="str">
        <f>IF(VLOOKUP(BH185,Fundamentus!A:U,17,FALSE)&lt;0.1,"Fraco retorno",IF(VLOOKUP(BH185,Fundamentus!A:U,17,FALSE)&gt;0.1,"Bom retorno","n/a"))</f>
        <v>Fraco retorno</v>
      </c>
      <c r="ET185" s="20" t="str">
        <f>IF(VLOOKUP(BH185,Fundamentus!A:U,16,FALSE)&lt;0.1,"Ineficiente",IF(VLOOKUP(BH185,Fundamentus!A:U,16,FALSE)&gt;0.1,"Eficiente","n/a"))</f>
        <v>Eficiente</v>
      </c>
      <c r="EU185" s="41" t="str">
        <f>IF(VLOOKUP(BH185,Fundamentus!A:U,16,FALSE)&lt;0.1,"Oper. Ineficiente",IF(VLOOKUP(BH185,Fundamentus!A:U,16,FALSE)&gt;0.1,"Oper.Eficiente","n/a"))</f>
        <v>Oper.Eficiente</v>
      </c>
      <c r="EV185" s="42">
        <f>VLOOKUP(BH185,Fundamentus!A:U,14,FALSE)</f>
        <v>8.1299999999999997E-2</v>
      </c>
      <c r="EW185" s="20" t="str">
        <f>IF(VLOOKUP(BH185,Fundamentus!A:U,21,FALSE)&lt;0,"Negativo",IF(VLOOKUP(BH185,Fundamentus!A:U,21,FALSE)&lt;0.05,"Fraco",IF(VLOOKUP(BH185,Fundamentus!A:U,21,FALSE)&lt;0.1,"Bom",IF(VLOOKUP(BH185,Fundamentus!A:U,21,FALSE)&gt;0.1,"Muito bom","n/a"))))</f>
        <v>Bom</v>
      </c>
      <c r="EY185" s="37" t="str">
        <f>IF(VLOOKUP(BH185,Fundamentus!A:U,15,FALSE)&gt;1,"Bom",IF(VLOOKUP(BH185,Fundamentus!A:U,15,FALSE)&lt;1,"Ruim","n/a"))</f>
        <v>Bom</v>
      </c>
      <c r="EZ185" s="20" t="str">
        <f>IF(VLOOKUP(BH185,Fundamentus!A:U,20,FALSE)&lt;0.5,"Baixa",IF(VLOOKUP(BH185,Fundamentus!A:U,20,FALSE)&lt;1,"Moderada",IF(VLOOKUP(BH185,Fundamentus!A:U,20,FALSE)&lt;2,"Alerta",IF(VLOOKUP(BH185,Fundamentus!A:U,20,FALSE)&gt;2,"Alta","n/a"))))</f>
        <v>Baixa</v>
      </c>
      <c r="FA185" s="10">
        <v>1</v>
      </c>
    </row>
    <row r="186" spans="1:157" s="2" customFormat="1" ht="11.25" hidden="1" x14ac:dyDescent="0.2">
      <c r="A186" s="4">
        <v>11.39</v>
      </c>
      <c r="B186" s="4">
        <v>11.21</v>
      </c>
      <c r="C186" s="4">
        <v>11.42</v>
      </c>
      <c r="D186" s="4">
        <v>11.15</v>
      </c>
      <c r="E186" s="4">
        <v>10.67</v>
      </c>
      <c r="F186" s="4">
        <v>10.75</v>
      </c>
      <c r="G186" s="4">
        <v>10.37</v>
      </c>
      <c r="H186" s="4">
        <v>10.39</v>
      </c>
      <c r="I186" s="4">
        <v>10.24</v>
      </c>
      <c r="J186" s="4">
        <v>10.52</v>
      </c>
      <c r="K186" s="4">
        <v>11.51</v>
      </c>
      <c r="L186" s="4">
        <v>11.17</v>
      </c>
      <c r="M186" s="4">
        <v>10.95</v>
      </c>
      <c r="N186" s="4">
        <v>10.86</v>
      </c>
      <c r="O186" s="4">
        <v>12.02</v>
      </c>
      <c r="P186" s="4">
        <v>12.5</v>
      </c>
      <c r="Q186" s="4">
        <v>12.74</v>
      </c>
      <c r="R186" s="4">
        <v>12.68</v>
      </c>
      <c r="S186" s="4">
        <v>12.23</v>
      </c>
      <c r="T186" s="4">
        <v>12.13</v>
      </c>
      <c r="U186" s="4">
        <v>11.6</v>
      </c>
      <c r="V186" s="4">
        <v>10.73</v>
      </c>
      <c r="W186" s="4">
        <v>10.75</v>
      </c>
      <c r="X186" s="4">
        <v>10.69</v>
      </c>
      <c r="Y186" s="4">
        <v>10.58</v>
      </c>
      <c r="Z186" s="4">
        <v>10.71</v>
      </c>
      <c r="AA186" s="4">
        <v>10.42</v>
      </c>
      <c r="AB186" s="4">
        <v>10.3</v>
      </c>
      <c r="AC186" s="4">
        <v>10.27</v>
      </c>
      <c r="AD186" s="4">
        <v>10.02</v>
      </c>
      <c r="AE186" s="4">
        <v>9.26</v>
      </c>
      <c r="AF186" s="4">
        <v>9.93</v>
      </c>
      <c r="AG186" s="4">
        <v>10.220000000000001</v>
      </c>
      <c r="AH186" s="4">
        <v>10.26</v>
      </c>
      <c r="AI186" s="4">
        <v>10.36</v>
      </c>
      <c r="AJ186" s="4">
        <v>10.1</v>
      </c>
      <c r="AK186" s="4">
        <v>9.8000000000000007</v>
      </c>
      <c r="AL186" s="4">
        <v>10.35</v>
      </c>
      <c r="AM186" s="4">
        <v>10.37</v>
      </c>
      <c r="AN186" s="4">
        <v>11.19</v>
      </c>
      <c r="AO186" s="4">
        <v>10.96</v>
      </c>
      <c r="AP186" s="4">
        <v>11.59</v>
      </c>
      <c r="AQ186" s="4">
        <v>11.22</v>
      </c>
      <c r="AR186" s="4">
        <v>10.4</v>
      </c>
      <c r="AS186" s="4">
        <v>10.7</v>
      </c>
      <c r="AT186" s="4">
        <v>12.87</v>
      </c>
      <c r="AU186" s="4">
        <v>12.45</v>
      </c>
      <c r="AV186" s="4">
        <v>12.24</v>
      </c>
      <c r="AW186" s="4">
        <v>12.05</v>
      </c>
      <c r="AX186" s="4">
        <v>11.94</v>
      </c>
      <c r="AY186" s="12">
        <v>12.18</v>
      </c>
      <c r="AZ186" s="12">
        <v>13.39</v>
      </c>
      <c r="BA186" s="12">
        <v>13.49</v>
      </c>
      <c r="BB186" s="18">
        <v>14.25</v>
      </c>
      <c r="BC186" s="63">
        <v>14.77</v>
      </c>
      <c r="BD186" s="63">
        <v>14.39</v>
      </c>
      <c r="BE186" s="63">
        <v>13.95</v>
      </c>
      <c r="BF186" s="63">
        <v>13.57</v>
      </c>
      <c r="BG186" s="91" cm="1">
        <f t="array" aca="1" ref="BG186" ca="1">_FV(EE186,"Preço")</f>
        <v>13.05</v>
      </c>
      <c r="BH186" s="93" t="s">
        <v>183</v>
      </c>
      <c r="BI186" s="32" cm="1">
        <f t="array" aca="1" ref="BI186" ca="1">_FV(EE186,"Beta")</f>
        <v>1.5065</v>
      </c>
      <c r="BJ186" s="96" cm="1">
        <f t="array" aca="1" ref="BJ186" ca="1">_FV(EE186,"Variação (%)",TRUE)</f>
        <v>5.3930000000000002E-3</v>
      </c>
      <c r="BK186" s="49"/>
      <c r="BL186" s="49"/>
      <c r="BN186" s="32"/>
      <c r="BO186" s="20" cm="1">
        <f t="array" aca="1" ref="BO186" ca="1">_FV(EE186,"Baixo")</f>
        <v>12.7</v>
      </c>
      <c r="BP186" s="20" cm="1">
        <f t="array" aca="1" ref="BP186" ca="1">_FV(EE186,"Alto")</f>
        <v>13.1</v>
      </c>
      <c r="BQ186" s="32"/>
      <c r="BR186" s="74">
        <f ca="1">SQRT(22.5*(BG186/VLOOKUP(BH186,Fundamentus!A:U,3,FALSE))*(BG186/VLOOKUP(BH186,Fundamentus!A:U,4,FALSE)))</f>
        <v>8.1584386247594942</v>
      </c>
      <c r="BT186" s="73">
        <f t="shared" ca="1" si="158"/>
        <v>-3.8319823139277787E-2</v>
      </c>
      <c r="BU186" s="36">
        <f t="shared" si="159"/>
        <v>0.22475856014047399</v>
      </c>
      <c r="BV186" s="8"/>
      <c r="BW186" s="72">
        <f t="shared" si="160"/>
        <v>9.26</v>
      </c>
      <c r="BX186" s="72">
        <f t="shared" si="161"/>
        <v>11.400344827586208</v>
      </c>
      <c r="BY186" s="72">
        <f t="shared" si="162"/>
        <v>14.77</v>
      </c>
      <c r="BZ186" s="17"/>
      <c r="CA186" s="17"/>
      <c r="CB186" s="43">
        <f t="shared" si="163"/>
        <v>12.285405375516531</v>
      </c>
      <c r="CC186" s="18">
        <f t="shared" si="164"/>
        <v>13.189175257732131</v>
      </c>
      <c r="CD186" s="43">
        <f t="shared" si="165"/>
        <v>14.092945139947732</v>
      </c>
      <c r="CE186" s="98">
        <f t="shared" ca="1" si="166"/>
        <v>-0.1539941311066276</v>
      </c>
      <c r="CF186" s="17"/>
      <c r="CG186" s="20">
        <f t="shared" si="167"/>
        <v>4.7866666666666671</v>
      </c>
      <c r="CH186" s="20">
        <f t="shared" si="168"/>
        <v>7.0233333333333334</v>
      </c>
      <c r="CI186" s="20">
        <f t="shared" si="169"/>
        <v>10.296666666666667</v>
      </c>
      <c r="CJ186" s="49">
        <f t="shared" si="170"/>
        <v>12.533333333333333</v>
      </c>
      <c r="CK186" s="20">
        <f t="shared" si="171"/>
        <v>15.806666666666667</v>
      </c>
      <c r="CL186" s="20">
        <f t="shared" si="172"/>
        <v>18.043333333333333</v>
      </c>
      <c r="CM186" s="20">
        <f t="shared" si="173"/>
        <v>21.316666666666666</v>
      </c>
      <c r="CN186" s="2" cm="1">
        <f t="array" aca="1" ref="CN186" ca="1">MAX(_xlfn._xlws.FILTER(CG186:CM186,CG186:CM186&lt;BG186))</f>
        <v>12.533333333333333</v>
      </c>
      <c r="CO186" s="2" cm="1">
        <f t="array" aca="1" ref="CO186" ca="1">MIN(_xlfn._xlws.FILTER($CG186:$CM186,$CG186:$CM186&gt;BG186))</f>
        <v>15.806666666666667</v>
      </c>
      <c r="CP186" s="19">
        <f t="shared" ref="CP186:CP204" ca="1" si="217">(CO186/CN186)-1</f>
        <v>0.26117021276595742</v>
      </c>
      <c r="CQ186" s="23">
        <f t="shared" ref="CQ186:CQ204" ca="1" si="218">-$CP186/2</f>
        <v>-0.13058510638297871</v>
      </c>
      <c r="CR186" s="23">
        <f t="shared" ref="CR186:CR204" ca="1" si="219">-$CP186/3</f>
        <v>-8.7056737588652469E-2</v>
      </c>
      <c r="CS186" s="23">
        <f t="shared" ref="CS186:CS204" ca="1" si="220">-$CP186/5</f>
        <v>-5.2234042553191487E-2</v>
      </c>
      <c r="CT186" s="23">
        <f t="shared" ref="CT186:CT204" ca="1" si="221">-$CP186/9</f>
        <v>-2.9018912529550824E-2</v>
      </c>
      <c r="CU186" s="23">
        <f t="shared" ref="CU186:CU204" ca="1" si="222">-$CP186/17</f>
        <v>-1.5362953692115142E-2</v>
      </c>
      <c r="CV186" s="23">
        <f t="shared" ref="CV186:CV204" ca="1" si="223">-$CP186/33</f>
        <v>-7.9142488716956796E-3</v>
      </c>
      <c r="CW186" s="23">
        <f t="shared" ref="CW186:CW204" ca="1" si="224">-$CP186/65</f>
        <v>-4.018003273322422E-3</v>
      </c>
      <c r="CX186" s="24">
        <f t="shared" ref="CX186:CX204" ca="1" si="225">-$CP186/65*-1</f>
        <v>4.018003273322422E-3</v>
      </c>
      <c r="CY186" s="24">
        <f t="shared" ref="CY186:CY204" ca="1" si="226">-$CP186/33*-1</f>
        <v>7.9142488716956796E-3</v>
      </c>
      <c r="CZ186" s="24">
        <f t="shared" ref="CZ186:CZ204" ca="1" si="227">-$CP186/17*-1</f>
        <v>1.5362953692115142E-2</v>
      </c>
      <c r="DA186" s="24">
        <f t="shared" ref="DA186:DA204" ca="1" si="228">-$CP186/9*-1</f>
        <v>2.9018912529550824E-2</v>
      </c>
      <c r="DB186" s="24">
        <f t="shared" ref="DB186:DB204" ca="1" si="229">-$CP186/5*-1</f>
        <v>5.2234042553191487E-2</v>
      </c>
      <c r="DC186" s="24">
        <f t="shared" ref="DC186:DC204" ca="1" si="230">-$CP186/3*-1</f>
        <v>8.7056737588652469E-2</v>
      </c>
      <c r="DD186" s="24">
        <f t="shared" ref="DD186:DD204" ca="1" si="231">-$CP186/2*-1</f>
        <v>0.13058510638297871</v>
      </c>
      <c r="DF186" s="19" cm="1">
        <f t="array" aca="1" ref="DF186" ca="1">MAX(_xlfn._xlws.FILTER(CQ186:DD186,CQ186:DD186&lt;BJ186))</f>
        <v>4.018003273322422E-3</v>
      </c>
      <c r="DG186" s="19" cm="1">
        <f t="array" aca="1" ref="DG186" ca="1">MIN(_xlfn._xlws.FILTER(CQ186:DD186,CQ186:DD186&gt;BJ186))</f>
        <v>7.9142488716956796E-3</v>
      </c>
      <c r="DH186" s="2" cm="1">
        <f t="array" aca="1" ref="DH186" ca="1">_FV(EE186,"Fechamento anterior",TRUE)</f>
        <v>12.98</v>
      </c>
      <c r="DI186" s="36">
        <f t="shared" ca="1" si="174"/>
        <v>0.35288044979115613</v>
      </c>
      <c r="DJ186" s="18">
        <f t="shared" ref="DJ186:DJ204" ca="1" si="232">DH186+(DH186*DF186)</f>
        <v>13.032153682487726</v>
      </c>
      <c r="DK186" s="18">
        <f t="shared" ref="DK186:DK204" ca="1" si="233">DH186+(DH186*DG186)</f>
        <v>13.08272695035461</v>
      </c>
      <c r="DL186" s="9"/>
      <c r="DM186" s="9"/>
      <c r="DN186" s="9"/>
      <c r="DO186" s="9"/>
      <c r="DP186" s="79">
        <v>5.8882312372654172E-3</v>
      </c>
      <c r="DQ186" s="79">
        <v>6.1517959681177551E-3</v>
      </c>
      <c r="DR186" s="79">
        <v>6.6368414194501162E-3</v>
      </c>
      <c r="DS186" s="79">
        <f t="shared" ca="1" si="175"/>
        <v>3.8962455983732576E-3</v>
      </c>
      <c r="DT186" s="47"/>
      <c r="DU186" s="43">
        <f t="shared" si="176"/>
        <v>0.45188494110780009</v>
      </c>
      <c r="DV186" s="83">
        <f t="shared" ca="1" si="177"/>
        <v>1.9325999999999999</v>
      </c>
      <c r="DW186" s="83">
        <f t="shared" ca="1" si="178"/>
        <v>0.96719999999999995</v>
      </c>
      <c r="DX186" s="83">
        <f t="shared" ref="DX186:DX249" ca="1" si="234">DV186-DW186</f>
        <v>0.96539999999999992</v>
      </c>
      <c r="DY186" s="67"/>
      <c r="DZ186" s="67"/>
      <c r="EA186" s="85"/>
      <c r="EB186" s="44">
        <v>24920600</v>
      </c>
      <c r="EC186" s="44" cm="1">
        <f t="array" aca="1" ref="EC186" ca="1">_FV(EE186,"Volume")</f>
        <v>52654000</v>
      </c>
      <c r="EE186" s="2" t="e" vm="188">
        <v>#VALUE!</v>
      </c>
      <c r="EG186" s="10" cm="1">
        <f t="array" aca="1" ref="EG186" ca="1">_FV(EE186,"Ações em circulação",TRUE)</f>
        <v>5426500000</v>
      </c>
      <c r="EH186" s="21">
        <f>VLOOKUP(BH186,Fundamentus!A:U,5,FALSE)</f>
        <v>6.6449999999999996</v>
      </c>
      <c r="EI186" s="2">
        <f t="shared" ca="1" si="180"/>
        <v>10657009029.345373</v>
      </c>
      <c r="EJ186" s="20">
        <v>4872604201.4296465</v>
      </c>
      <c r="EK186" s="20">
        <f t="shared" ca="1" si="181"/>
        <v>4685886870.2031603</v>
      </c>
      <c r="EM186" s="40" t="str">
        <f>IF(VLOOKUP(BH186,Fundamentus!A:U,3,FALSE)&lt;15,"Bom",IF(VLOOKUP(BH186,Fundamentus!A:U,3,FALSE)&gt;15,"Ruim","n/a"))</f>
        <v>Ruim</v>
      </c>
      <c r="EN186" s="36" t="str">
        <f>IF(VLOOKUP(BH186,Fundamentus!A:U,4,FALSE)&lt;1,"Baixo",IF(VLOOKUP(BH186,Fundamentus!A:U,4,FALSE)&lt;1.5,"Moderado",IF(VLOOKUP(BH186,Fundamentus!A:U,4,FALSE)&gt;1.5,"Alto","n/a")))</f>
        <v>Alto</v>
      </c>
      <c r="EO186" s="20" t="str">
        <f>IF(VLOOKUP(BH186,Fundamentus!A:U,8,FALSE)&lt;0,"Risco elevado",IF(VLOOKUP(BH186,Fundamentus!A:U,8,FALSE)&lt;1,"Saudável",IF(VLOOKUP(BH186,Fundamentus!A:U,8,FALSE)&lt;3,"Estável",IF(VLOOKUP(BH186,Fundamentus!A:U,8,FALSE)&gt;3,"Alerta","n/a"))))</f>
        <v>Alerta</v>
      </c>
      <c r="EP186" s="36" t="str">
        <f t="shared" si="182"/>
        <v>Bom</v>
      </c>
      <c r="EQ186" s="20" t="str">
        <f>IF(VLOOKUP(BH186,Fundamentus!A:U,12,FALSE)&lt;2,"Subvalorizada",IF(VLOOKUP(BH186,Fundamentus!A:U,12,FALSE)&lt;6,"Muita barata",IF(VLOOKUP(BH186,Fundamentus!A:U,12,FALSE)&lt;6,"Barata",IF(VLOOKUP(BH186,Fundamentus!A:U,12,FALSE)&lt;8,"Atrativa",IF(VLOOKUP(BH186,Fundamentus!A:U,12,FALSE)&gt;8,"Supervalorizada","n/a")))))</f>
        <v>Supervalorizada</v>
      </c>
      <c r="ES186" s="20" t="str">
        <f>IF(VLOOKUP(BH186,Fundamentus!A:U,17,FALSE)&lt;0.1,"Fraco retorno",IF(VLOOKUP(BH186,Fundamentus!A:U,17,FALSE)&gt;0.1,"Bom retorno","n/a"))</f>
        <v>Bom retorno</v>
      </c>
      <c r="ET186" s="20" t="str">
        <f>IF(VLOOKUP(BH186,Fundamentus!A:U,16,FALSE)&lt;0.1,"Ineficiente",IF(VLOOKUP(BH186,Fundamentus!A:U,16,FALSE)&gt;0.1,"Eficiente","n/a"))</f>
        <v>Eficiente</v>
      </c>
      <c r="EU186" s="41" t="str">
        <f>IF(VLOOKUP(BH186,Fundamentus!A:U,16,FALSE)&lt;0.1,"Oper. Ineficiente",IF(VLOOKUP(BH186,Fundamentus!A:U,16,FALSE)&gt;0.1,"Oper.Eficiente","n/a"))</f>
        <v>Oper.Eficiente</v>
      </c>
      <c r="EV186" s="42">
        <f>VLOOKUP(BH186,Fundamentus!A:U,14,FALSE)</f>
        <v>0.43969999999999998</v>
      </c>
      <c r="EW186" s="20" t="str">
        <f>IF(VLOOKUP(BH186,Fundamentus!A:U,21,FALSE)&lt;0,"Negativo",IF(VLOOKUP(BH186,Fundamentus!A:U,21,FALSE)&lt;0.05,"Fraco",IF(VLOOKUP(BH186,Fundamentus!A:U,21,FALSE)&lt;0.1,"Bom",IF(VLOOKUP(BH186,Fundamentus!A:U,21,FALSE)&gt;0.1,"Muito bom","n/a"))))</f>
        <v>Fraco</v>
      </c>
      <c r="EY186" s="37" t="str">
        <f>IF(VLOOKUP(BH186,Fundamentus!A:U,15,FALSE)&gt;1,"Bom",IF(VLOOKUP(BH186,Fundamentus!A:U,15,FALSE)&lt;1,"Ruim","n/a"))</f>
        <v>Bom</v>
      </c>
      <c r="EZ186" s="20" t="str">
        <f>IF(VLOOKUP(BH186,Fundamentus!A:U,20,FALSE)&lt;0.5,"Baixa",IF(VLOOKUP(BH186,Fundamentus!A:U,20,FALSE)&lt;1,"Moderada",IF(VLOOKUP(BH186,Fundamentus!A:U,20,FALSE)&lt;2,"Alerta",IF(VLOOKUP(BH186,Fundamentus!A:U,20,FALSE)&gt;2,"Alta","n/a"))))</f>
        <v>Moderada</v>
      </c>
      <c r="FA186" s="10"/>
    </row>
    <row r="187" spans="1:157" s="2" customFormat="1" ht="11.25" hidden="1" x14ac:dyDescent="0.2">
      <c r="A187" s="4">
        <v>0.85</v>
      </c>
      <c r="B187" s="4">
        <v>0.72</v>
      </c>
      <c r="C187" s="4">
        <v>0.67</v>
      </c>
      <c r="D187" s="4">
        <v>0.7</v>
      </c>
      <c r="E187" s="4">
        <v>0.7</v>
      </c>
      <c r="F187" s="4">
        <v>0.56000000000000005</v>
      </c>
      <c r="G187" s="4">
        <v>0.54</v>
      </c>
      <c r="H187" s="4">
        <v>0.54</v>
      </c>
      <c r="I187" s="4">
        <v>0.61</v>
      </c>
      <c r="J187" s="4">
        <v>0.66</v>
      </c>
      <c r="K187" s="4">
        <v>0.67</v>
      </c>
      <c r="L187" s="4">
        <v>0.71</v>
      </c>
      <c r="M187" s="4">
        <v>0.71</v>
      </c>
      <c r="N187" s="4">
        <v>0.77</v>
      </c>
      <c r="O187" s="4">
        <v>0.73</v>
      </c>
      <c r="P187" s="4">
        <v>0.59</v>
      </c>
      <c r="Q187" s="4">
        <v>0.56999999999999995</v>
      </c>
      <c r="R187" s="4">
        <v>0.61</v>
      </c>
      <c r="S187" s="4">
        <v>0.63</v>
      </c>
      <c r="T187" s="4">
        <v>0.53</v>
      </c>
      <c r="U187" s="4">
        <v>0.46</v>
      </c>
      <c r="V187" s="4">
        <v>0.48</v>
      </c>
      <c r="W187" s="4">
        <v>0.49</v>
      </c>
      <c r="X187" s="4">
        <v>4.55</v>
      </c>
      <c r="Y187" s="4">
        <v>4.7699999999999996</v>
      </c>
      <c r="Z187" s="4">
        <v>5.3</v>
      </c>
      <c r="AA187" s="4">
        <v>5.61</v>
      </c>
      <c r="AB187" s="4">
        <v>6.41</v>
      </c>
      <c r="AC187" s="4">
        <v>6.4</v>
      </c>
      <c r="AD187" s="4">
        <v>6.63</v>
      </c>
      <c r="AE187" s="4">
        <v>6.01</v>
      </c>
      <c r="AF187" s="4">
        <v>6.47</v>
      </c>
      <c r="AG187" s="4">
        <v>6.72</v>
      </c>
      <c r="AH187" s="4">
        <v>8.18</v>
      </c>
      <c r="AI187" s="4">
        <v>8.2100000000000009</v>
      </c>
      <c r="AJ187" s="4">
        <v>8.16</v>
      </c>
      <c r="AK187" s="4">
        <v>8.2799999999999994</v>
      </c>
      <c r="AL187" s="4">
        <v>8.41</v>
      </c>
      <c r="AM187" s="4">
        <v>8.5</v>
      </c>
      <c r="AN187" s="4">
        <v>8.59</v>
      </c>
      <c r="AO187" s="4">
        <v>8.5500000000000007</v>
      </c>
      <c r="AP187" s="4">
        <v>8.5500000000000007</v>
      </c>
      <c r="AQ187" s="4">
        <v>8.67</v>
      </c>
      <c r="AR187" s="4">
        <v>8.73</v>
      </c>
      <c r="AS187" s="4">
        <v>8.75</v>
      </c>
      <c r="AT187" s="4">
        <v>8.77</v>
      </c>
      <c r="AU187" s="4">
        <v>8.73</v>
      </c>
      <c r="AV187" s="4">
        <v>8.82</v>
      </c>
      <c r="AW187" s="4">
        <v>8.84</v>
      </c>
      <c r="AX187" s="4">
        <v>8.8800000000000008</v>
      </c>
      <c r="AY187" s="12">
        <v>8.8699999999999992</v>
      </c>
      <c r="AZ187" s="12">
        <v>8.8699999999999992</v>
      </c>
      <c r="BA187" s="12">
        <v>8.8699999999999992</v>
      </c>
      <c r="BB187" s="18">
        <v>8.8699999999999992</v>
      </c>
      <c r="BC187" s="63">
        <v>8.8699999999999992</v>
      </c>
      <c r="BD187" s="63">
        <v>8.8699999999999992</v>
      </c>
      <c r="BE187" s="63">
        <v>8.8699999999999992</v>
      </c>
      <c r="BF187" s="63">
        <v>8.8699999999999992</v>
      </c>
      <c r="BG187" s="91" cm="1">
        <f t="array" aca="1" ref="BG187" ca="1">_FV(EE187,"Preço")</f>
        <v>8.8699999999999992</v>
      </c>
      <c r="BH187" s="93" t="s">
        <v>184</v>
      </c>
      <c r="BI187" s="32" cm="1">
        <f t="array" aca="1" ref="BI187" ca="1">_FV(EE187,"Beta")</f>
        <v>0.82779999999999998</v>
      </c>
      <c r="BJ187" s="96" cm="1">
        <f t="array" aca="1" ref="BJ187" ca="1">_FV(EE187,"Variação (%)",TRUE)</f>
        <v>0</v>
      </c>
      <c r="BK187" s="49"/>
      <c r="BL187" s="49"/>
      <c r="BN187" s="32"/>
      <c r="BO187" s="20" cm="1">
        <f t="array" aca="1" ref="BO187" ca="1">_FV(EE187,"Baixo")</f>
        <v>8.8699999999999992</v>
      </c>
      <c r="BP187" s="20" cm="1">
        <f t="array" aca="1" ref="BP187" ca="1">_FV(EE187,"Alto")</f>
        <v>8.8800000000000008</v>
      </c>
      <c r="BQ187" s="32"/>
      <c r="BR187" s="74" t="e">
        <f ca="1">SQRT(22.5*(BG187/VLOOKUP(BH187,Fundamentus!A:U,3,FALSE))*(BG187/VLOOKUP(BH187,Fundamentus!A:U,4,FALSE)))</f>
        <v>#NUM!</v>
      </c>
      <c r="BT187" s="73">
        <f t="shared" ca="1" si="158"/>
        <v>0</v>
      </c>
      <c r="BU187" s="36">
        <f t="shared" si="159"/>
        <v>9.4352941176470591</v>
      </c>
      <c r="BV187" s="8"/>
      <c r="BW187" s="72">
        <f t="shared" si="160"/>
        <v>0.46</v>
      </c>
      <c r="BX187" s="72">
        <f t="shared" si="161"/>
        <v>4.9991379310344835</v>
      </c>
      <c r="BY187" s="72">
        <f t="shared" si="162"/>
        <v>8.8800000000000008</v>
      </c>
      <c r="BZ187" s="17"/>
      <c r="CA187" s="17"/>
      <c r="CB187" s="43">
        <f t="shared" si="163"/>
        <v>8.8699999999999992</v>
      </c>
      <c r="CC187" s="18">
        <f t="shared" si="164"/>
        <v>8.8699999999999992</v>
      </c>
      <c r="CD187" s="43">
        <f t="shared" si="165"/>
        <v>8.8699999999999992</v>
      </c>
      <c r="CE187" s="98" t="e">
        <f t="shared" ca="1" si="166"/>
        <v>#DIV/0!</v>
      </c>
      <c r="CF187" s="17"/>
      <c r="CG187" s="20">
        <f t="shared" si="167"/>
        <v>-5.160000000000001</v>
      </c>
      <c r="CH187" s="20">
        <f t="shared" si="168"/>
        <v>-2.3499999999999996</v>
      </c>
      <c r="CI187" s="20">
        <f t="shared" si="169"/>
        <v>3.26</v>
      </c>
      <c r="CJ187" s="49">
        <f t="shared" si="170"/>
        <v>6.07</v>
      </c>
      <c r="CK187" s="20">
        <f t="shared" si="171"/>
        <v>11.68</v>
      </c>
      <c r="CL187" s="20">
        <f t="shared" si="172"/>
        <v>14.49</v>
      </c>
      <c r="CM187" s="20">
        <f t="shared" si="173"/>
        <v>20.100000000000001</v>
      </c>
      <c r="CN187" s="2" cm="1">
        <f t="array" aca="1" ref="CN187" ca="1">MAX(_xlfn._xlws.FILTER(CG187:CM187,CG187:CM187&lt;BG187))</f>
        <v>6.07</v>
      </c>
      <c r="CO187" s="2" cm="1">
        <f t="array" aca="1" ref="CO187" ca="1">MIN(_xlfn._xlws.FILTER($CG187:$CM187,$CG187:$CM187&gt;BG187))</f>
        <v>11.68</v>
      </c>
      <c r="CP187" s="19">
        <f t="shared" ca="1" si="217"/>
        <v>0.92421746293245466</v>
      </c>
      <c r="CQ187" s="23">
        <f t="shared" ca="1" si="218"/>
        <v>-0.46210873146622733</v>
      </c>
      <c r="CR187" s="23">
        <f t="shared" ca="1" si="219"/>
        <v>-0.30807248764415157</v>
      </c>
      <c r="CS187" s="23">
        <f t="shared" ca="1" si="220"/>
        <v>-0.18484349258649094</v>
      </c>
      <c r="CT187" s="23">
        <f t="shared" ca="1" si="221"/>
        <v>-0.10269082921471719</v>
      </c>
      <c r="CU187" s="23">
        <f t="shared" ca="1" si="222"/>
        <v>-5.4365733113673806E-2</v>
      </c>
      <c r="CV187" s="23">
        <f t="shared" ca="1" si="223"/>
        <v>-2.800658978583196E-2</v>
      </c>
      <c r="CW187" s="23">
        <f t="shared" ca="1" si="224"/>
        <v>-1.4218730198960841E-2</v>
      </c>
      <c r="CX187" s="24">
        <f t="shared" ca="1" si="225"/>
        <v>1.4218730198960841E-2</v>
      </c>
      <c r="CY187" s="24">
        <f t="shared" ca="1" si="226"/>
        <v>2.800658978583196E-2</v>
      </c>
      <c r="CZ187" s="24">
        <f t="shared" ca="1" si="227"/>
        <v>5.4365733113673806E-2</v>
      </c>
      <c r="DA187" s="24">
        <f t="shared" ca="1" si="228"/>
        <v>0.10269082921471719</v>
      </c>
      <c r="DB187" s="24">
        <f t="shared" ca="1" si="229"/>
        <v>0.18484349258649094</v>
      </c>
      <c r="DC187" s="24">
        <f t="shared" ca="1" si="230"/>
        <v>0.30807248764415157</v>
      </c>
      <c r="DD187" s="24">
        <f t="shared" ca="1" si="231"/>
        <v>0.46210873146622733</v>
      </c>
      <c r="DF187" s="19" cm="1">
        <f t="array" aca="1" ref="DF187" ca="1">MAX(_xlfn._xlws.FILTER(CQ187:DD187,CQ187:DD187&lt;BJ187))</f>
        <v>-1.4218730198960841E-2</v>
      </c>
      <c r="DG187" s="19" cm="1">
        <f t="array" aca="1" ref="DG187" ca="1">MIN(_xlfn._xlws.FILTER(CQ187:DD187,CQ187:DD187&gt;BJ187))</f>
        <v>1.4218730198960841E-2</v>
      </c>
      <c r="DH187" s="2" cm="1">
        <f t="array" aca="1" ref="DH187" ca="1">_FV(EE187,"Fechamento anterior",TRUE)</f>
        <v>8.8800000000000008</v>
      </c>
      <c r="DI187" s="36">
        <f t="shared" ca="1" si="174"/>
        <v>0.46039990525284019</v>
      </c>
      <c r="DJ187" s="18">
        <f t="shared" ca="1" si="232"/>
        <v>8.7537376758332286</v>
      </c>
      <c r="DK187" s="18">
        <f t="shared" ca="1" si="233"/>
        <v>9.006262324166773</v>
      </c>
      <c r="DL187" s="9"/>
      <c r="DM187" s="9"/>
      <c r="DN187" s="9"/>
      <c r="DO187" s="9"/>
      <c r="DP187" s="79">
        <v>2.6639676113360315E-2</v>
      </c>
      <c r="DQ187" s="79">
        <v>2.6639676113360315E-2</v>
      </c>
      <c r="DR187" s="79">
        <v>2.6639676113360315E-2</v>
      </c>
      <c r="DS187" s="79">
        <f t="shared" ca="1" si="175"/>
        <v>2.8437460397921683E-2</v>
      </c>
      <c r="DT187" s="47"/>
      <c r="DU187" s="43">
        <f t="shared" si="176"/>
        <v>0</v>
      </c>
      <c r="DV187" s="83">
        <f t="shared" ca="1" si="177"/>
        <v>1.2539</v>
      </c>
      <c r="DW187" s="83">
        <f t="shared" ca="1" si="178"/>
        <v>0.82779999999999998</v>
      </c>
      <c r="DX187" s="83">
        <f t="shared" ca="1" si="234"/>
        <v>0.42610000000000003</v>
      </c>
      <c r="DY187" s="67"/>
      <c r="DZ187" s="67"/>
      <c r="EA187" s="85"/>
      <c r="EB187" s="44">
        <v>20000</v>
      </c>
      <c r="EC187" s="44" cm="1">
        <f t="array" aca="1" ref="EC187" ca="1">_FV(EE187,"Volume")</f>
        <v>20000</v>
      </c>
      <c r="EE187" s="2" t="e" vm="189">
        <v>#VALUE!</v>
      </c>
      <c r="EG187" s="10" cm="1">
        <f t="array" aca="1" ref="EG187" ca="1">_FV(EE187,"Ações em circulação",TRUE)</f>
        <v>77334810</v>
      </c>
      <c r="EH187" s="21">
        <f>VLOOKUP(BH187,Fundamentus!A:U,5,FALSE)</f>
        <v>0.30299999999999999</v>
      </c>
      <c r="EI187" s="2">
        <f t="shared" ca="1" si="180"/>
        <v>2263893612.8712869</v>
      </c>
      <c r="EJ187" s="20">
        <v>-245632456.99653462</v>
      </c>
      <c r="EK187" s="20">
        <f t="shared" ca="1" si="181"/>
        <v>-245632456.99653462</v>
      </c>
      <c r="EM187" s="40" t="str">
        <f>IF(VLOOKUP(BH187,Fundamentus!A:U,3,FALSE)&lt;15,"Bom",IF(VLOOKUP(BH187,Fundamentus!A:U,3,FALSE)&gt;15,"Ruim","n/a"))</f>
        <v>Bom</v>
      </c>
      <c r="EN187" s="36" t="str">
        <f>IF(VLOOKUP(BH187,Fundamentus!A:U,4,FALSE)&lt;1,"Baixo",IF(VLOOKUP(BH187,Fundamentus!A:U,4,FALSE)&lt;1.5,"Moderado",IF(VLOOKUP(BH187,Fundamentus!A:U,4,FALSE)&gt;1.5,"Alto","n/a")))</f>
        <v>Baixo</v>
      </c>
      <c r="EO187" s="20" t="str">
        <f>IF(VLOOKUP(BH187,Fundamentus!A:U,8,FALSE)&lt;0,"Risco elevado",IF(VLOOKUP(BH187,Fundamentus!A:U,8,FALSE)&lt;1,"Saudável",IF(VLOOKUP(BH187,Fundamentus!A:U,8,FALSE)&lt;3,"Estável",IF(VLOOKUP(BH187,Fundamentus!A:U,8,FALSE)&gt;3,"Alerta","n/a"))))</f>
        <v>Estável</v>
      </c>
      <c r="EP187" s="36" t="str">
        <f t="shared" si="182"/>
        <v>Ruim</v>
      </c>
      <c r="EQ187" s="20" t="str">
        <f>IF(VLOOKUP(BH187,Fundamentus!A:U,12,FALSE)&lt;2,"Subvalorizada",IF(VLOOKUP(BH187,Fundamentus!A:U,12,FALSE)&lt;6,"Muita barata",IF(VLOOKUP(BH187,Fundamentus!A:U,12,FALSE)&lt;6,"Barata",IF(VLOOKUP(BH187,Fundamentus!A:U,12,FALSE)&lt;8,"Atrativa",IF(VLOOKUP(BH187,Fundamentus!A:U,12,FALSE)&gt;8,"Supervalorizada","n/a")))))</f>
        <v>Supervalorizada</v>
      </c>
      <c r="ES187" s="20" t="str">
        <f>IF(VLOOKUP(BH187,Fundamentus!A:U,17,FALSE)&lt;0.1,"Fraco retorno",IF(VLOOKUP(BH187,Fundamentus!A:U,17,FALSE)&gt;0.1,"Bom retorno","n/a"))</f>
        <v>Fraco retorno</v>
      </c>
      <c r="ET187" s="20" t="str">
        <f>IF(VLOOKUP(BH187,Fundamentus!A:U,16,FALSE)&lt;0.1,"Ineficiente",IF(VLOOKUP(BH187,Fundamentus!A:U,16,FALSE)&gt;0.1,"Eficiente","n/a"))</f>
        <v>Ineficiente</v>
      </c>
      <c r="EU187" s="41" t="str">
        <f>IF(VLOOKUP(BH187,Fundamentus!A:U,16,FALSE)&lt;0.1,"Oper. Ineficiente",IF(VLOOKUP(BH187,Fundamentus!A:U,16,FALSE)&gt;0.1,"Oper.Eficiente","n/a"))</f>
        <v>Oper. Ineficiente</v>
      </c>
      <c r="EV187" s="42">
        <f>VLOOKUP(BH187,Fundamentus!A:U,14,FALSE)</f>
        <v>-0.1085</v>
      </c>
      <c r="EW187" s="20" t="str">
        <f>IF(VLOOKUP(BH187,Fundamentus!A:U,21,FALSE)&lt;0,"Negativo",IF(VLOOKUP(BH187,Fundamentus!A:U,21,FALSE)&lt;0.05,"Fraco",IF(VLOOKUP(BH187,Fundamentus!A:U,21,FALSE)&lt;0.1,"Bom",IF(VLOOKUP(BH187,Fundamentus!A:U,21,FALSE)&gt;0.1,"Muito bom","n/a"))))</f>
        <v>Muito bom</v>
      </c>
      <c r="EY187" s="37" t="str">
        <f>IF(VLOOKUP(BH187,Fundamentus!A:U,15,FALSE)&gt;1,"Bom",IF(VLOOKUP(BH187,Fundamentus!A:U,15,FALSE)&lt;1,"Ruim","n/a"))</f>
        <v>Bom</v>
      </c>
      <c r="EZ187" s="20" t="str">
        <f>IF(VLOOKUP(BH187,Fundamentus!A:U,20,FALSE)&lt;0.5,"Baixa",IF(VLOOKUP(BH187,Fundamentus!A:U,20,FALSE)&lt;1,"Moderada",IF(VLOOKUP(BH187,Fundamentus!A:U,20,FALSE)&lt;2,"Alerta",IF(VLOOKUP(BH187,Fundamentus!A:U,20,FALSE)&gt;2,"Alta","n/a"))))</f>
        <v>Alta</v>
      </c>
      <c r="FA187" s="10"/>
    </row>
    <row r="188" spans="1:157" s="2" customFormat="1" ht="11.25" hidden="1" x14ac:dyDescent="0.2">
      <c r="A188" s="4">
        <v>2.2200000000000002</v>
      </c>
      <c r="B188" s="4">
        <v>2.15</v>
      </c>
      <c r="C188" s="4">
        <v>2.11</v>
      </c>
      <c r="D188" s="4">
        <v>2.16</v>
      </c>
      <c r="E188" s="4">
        <v>2.15</v>
      </c>
      <c r="F188" s="4">
        <v>2.1</v>
      </c>
      <c r="G188" s="4">
        <v>2.04</v>
      </c>
      <c r="H188" s="4">
        <v>2.0499999999999998</v>
      </c>
      <c r="I188" s="4">
        <v>2.0299999999999998</v>
      </c>
      <c r="J188" s="4">
        <v>2.09</v>
      </c>
      <c r="K188" s="4">
        <v>2.06</v>
      </c>
      <c r="L188" s="4">
        <v>2.06</v>
      </c>
      <c r="M188" s="4">
        <v>2</v>
      </c>
      <c r="N188" s="4">
        <v>1.99</v>
      </c>
      <c r="O188" s="4">
        <v>1.95</v>
      </c>
      <c r="P188" s="4">
        <v>2.16</v>
      </c>
      <c r="Q188" s="4">
        <v>2.15</v>
      </c>
      <c r="R188" s="4">
        <v>2.13</v>
      </c>
      <c r="S188" s="4">
        <v>2.2200000000000002</v>
      </c>
      <c r="T188" s="4">
        <v>2.2799999999999998</v>
      </c>
      <c r="U188" s="4">
        <v>2.27</v>
      </c>
      <c r="V188" s="4">
        <v>2.2200000000000002</v>
      </c>
      <c r="W188" s="4">
        <v>2.35</v>
      </c>
      <c r="X188" s="4">
        <v>2.34</v>
      </c>
      <c r="Y188" s="4">
        <v>2.81</v>
      </c>
      <c r="Z188" s="4">
        <v>2.84</v>
      </c>
      <c r="AA188" s="4">
        <v>2.71</v>
      </c>
      <c r="AB188" s="4">
        <v>2.68</v>
      </c>
      <c r="AC188" s="4">
        <v>2.4700000000000002</v>
      </c>
      <c r="AD188" s="4">
        <v>2.36</v>
      </c>
      <c r="AE188" s="4">
        <v>2.17</v>
      </c>
      <c r="AF188" s="4">
        <v>2.13</v>
      </c>
      <c r="AG188" s="4">
        <v>2.11</v>
      </c>
      <c r="AH188" s="4">
        <v>1.9</v>
      </c>
      <c r="AI188" s="4">
        <v>1.92</v>
      </c>
      <c r="AJ188" s="4">
        <v>1.83</v>
      </c>
      <c r="AK188" s="4">
        <v>1.87</v>
      </c>
      <c r="AL188" s="4">
        <v>1.92</v>
      </c>
      <c r="AM188" s="4">
        <v>1.91</v>
      </c>
      <c r="AN188" s="4">
        <v>2.21</v>
      </c>
      <c r="AO188" s="4">
        <v>2.21</v>
      </c>
      <c r="AP188" s="4">
        <v>1.8</v>
      </c>
      <c r="AQ188" s="4">
        <v>1.65</v>
      </c>
      <c r="AR188" s="4">
        <v>1.56</v>
      </c>
      <c r="AS188" s="4">
        <v>1.67</v>
      </c>
      <c r="AT188" s="4">
        <v>1.74</v>
      </c>
      <c r="AU188" s="4">
        <v>1.7150000000000001</v>
      </c>
      <c r="AV188" s="4">
        <v>1.74</v>
      </c>
      <c r="AW188" s="4">
        <v>1.66</v>
      </c>
      <c r="AX188" s="4">
        <v>1.68</v>
      </c>
      <c r="AY188" s="12">
        <v>1.67</v>
      </c>
      <c r="AZ188" s="12">
        <v>1.68</v>
      </c>
      <c r="BA188" s="12">
        <v>1.67</v>
      </c>
      <c r="BB188" s="18">
        <v>1.64</v>
      </c>
      <c r="BC188" s="63">
        <v>1.62</v>
      </c>
      <c r="BD188" s="63">
        <v>1.59</v>
      </c>
      <c r="BE188" s="63">
        <v>1.68</v>
      </c>
      <c r="BF188" s="63">
        <v>1.57</v>
      </c>
      <c r="BG188" s="91" cm="1">
        <f t="array" aca="1" ref="BG188" ca="1">_FV(EE188,"Preço")</f>
        <v>1.59</v>
      </c>
      <c r="BH188" s="93" t="s">
        <v>185</v>
      </c>
      <c r="BI188" s="32" cm="1">
        <f t="array" aca="1" ref="BI188" ca="1">_FV(EE188,"Beta")</f>
        <v>0.83069999999999999</v>
      </c>
      <c r="BJ188" s="96" cm="1">
        <f t="array" aca="1" ref="BJ188" ca="1">_FV(EE188,"Variação (%)",TRUE)</f>
        <v>1.2739E-2</v>
      </c>
      <c r="BK188" s="49"/>
      <c r="BL188" s="49"/>
      <c r="BN188" s="32"/>
      <c r="BO188" s="20" cm="1">
        <f t="array" aca="1" ref="BO188" ca="1">_FV(EE188,"Baixo")</f>
        <v>1.56</v>
      </c>
      <c r="BP188" s="20" cm="1">
        <f t="array" aca="1" ref="BP188" ca="1">_FV(EE188,"Alto")</f>
        <v>1.59</v>
      </c>
      <c r="BQ188" s="32"/>
      <c r="BR188" s="74">
        <f ca="1">SQRT(22.5*(BG188/VLOOKUP(BH188,Fundamentus!A:U,3,FALSE))*(BG188/VLOOKUP(BH188,Fundamentus!A:U,4,FALSE)))</f>
        <v>0.15195358620654786</v>
      </c>
      <c r="BT188" s="73">
        <f t="shared" ca="1" si="158"/>
        <v>1.2738853503184724E-2</v>
      </c>
      <c r="BU188" s="36">
        <f t="shared" si="159"/>
        <v>-0.24324324324324334</v>
      </c>
      <c r="BV188" s="8"/>
      <c r="BW188" s="72">
        <f t="shared" si="160"/>
        <v>1.56</v>
      </c>
      <c r="BX188" s="72">
        <f t="shared" si="161"/>
        <v>2.0287068965517245</v>
      </c>
      <c r="BY188" s="72">
        <f t="shared" si="162"/>
        <v>2.84</v>
      </c>
      <c r="BZ188" s="17"/>
      <c r="CA188" s="17"/>
      <c r="CB188" s="43">
        <f t="shared" si="163"/>
        <v>1.5176272946416758</v>
      </c>
      <c r="CC188" s="18">
        <f t="shared" si="164"/>
        <v>1.6006935332708565</v>
      </c>
      <c r="CD188" s="43">
        <f t="shared" si="165"/>
        <v>1.6837597719000372</v>
      </c>
      <c r="CE188" s="98">
        <f t="shared" ca="1" si="166"/>
        <v>-0.1287350125313107</v>
      </c>
      <c r="CF188" s="17"/>
      <c r="CG188" s="20">
        <f t="shared" si="167"/>
        <v>-0.13999999999999924</v>
      </c>
      <c r="CH188" s="20">
        <f t="shared" si="168"/>
        <v>0.71000000000000041</v>
      </c>
      <c r="CI188" s="20">
        <f t="shared" si="169"/>
        <v>1.1400000000000006</v>
      </c>
      <c r="CJ188" s="49">
        <f t="shared" si="170"/>
        <v>1.9900000000000002</v>
      </c>
      <c r="CK188" s="20">
        <f t="shared" si="171"/>
        <v>2.4200000000000004</v>
      </c>
      <c r="CL188" s="20">
        <f t="shared" si="172"/>
        <v>3.27</v>
      </c>
      <c r="CM188" s="20">
        <f t="shared" si="173"/>
        <v>3.7</v>
      </c>
      <c r="CN188" s="2" cm="1">
        <f t="array" aca="1" ref="CN188" ca="1">MAX(_xlfn._xlws.FILTER(CG188:CM188,CG188:CM188&lt;BG188))</f>
        <v>1.1400000000000006</v>
      </c>
      <c r="CO188" s="2" cm="1">
        <f t="array" aca="1" ref="CO188" ca="1">MIN(_xlfn._xlws.FILTER($CG188:$CM188,$CG188:$CM188&gt;BG188))</f>
        <v>1.9900000000000002</v>
      </c>
      <c r="CP188" s="19">
        <f t="shared" ca="1" si="217"/>
        <v>0.74561403508771851</v>
      </c>
      <c r="CQ188" s="23">
        <f t="shared" ca="1" si="218"/>
        <v>-0.37280701754385925</v>
      </c>
      <c r="CR188" s="23">
        <f t="shared" ca="1" si="219"/>
        <v>-0.24853801169590617</v>
      </c>
      <c r="CS188" s="23">
        <f t="shared" ca="1" si="220"/>
        <v>-0.14912280701754371</v>
      </c>
      <c r="CT188" s="23">
        <f t="shared" ca="1" si="221"/>
        <v>-8.284600389863539E-2</v>
      </c>
      <c r="CU188" s="23">
        <f t="shared" ca="1" si="222"/>
        <v>-4.3859649122806973E-2</v>
      </c>
      <c r="CV188" s="23">
        <f t="shared" ca="1" si="223"/>
        <v>-2.2594364699627834E-2</v>
      </c>
      <c r="CW188" s="23">
        <f t="shared" ca="1" si="224"/>
        <v>-1.147098515519567E-2</v>
      </c>
      <c r="CX188" s="24">
        <f t="shared" ca="1" si="225"/>
        <v>1.147098515519567E-2</v>
      </c>
      <c r="CY188" s="24">
        <f t="shared" ca="1" si="226"/>
        <v>2.2594364699627834E-2</v>
      </c>
      <c r="CZ188" s="24">
        <f t="shared" ca="1" si="227"/>
        <v>4.3859649122806973E-2</v>
      </c>
      <c r="DA188" s="24">
        <f t="shared" ca="1" si="228"/>
        <v>8.284600389863539E-2</v>
      </c>
      <c r="DB188" s="24">
        <f t="shared" ca="1" si="229"/>
        <v>0.14912280701754371</v>
      </c>
      <c r="DC188" s="24">
        <f t="shared" ca="1" si="230"/>
        <v>0.24853801169590617</v>
      </c>
      <c r="DD188" s="24">
        <f t="shared" ca="1" si="231"/>
        <v>0.37280701754385925</v>
      </c>
      <c r="DF188" s="19" cm="1">
        <f t="array" aca="1" ref="DF188" ca="1">MAX(_xlfn._xlws.FILTER(CQ188:DD188,CQ188:DD188&lt;BJ188))</f>
        <v>1.147098515519567E-2</v>
      </c>
      <c r="DG188" s="19" cm="1">
        <f t="array" aca="1" ref="DG188" ca="1">MIN(_xlfn._xlws.FILTER(CQ188:DD188,CQ188:DD188&gt;BJ188))</f>
        <v>2.2594364699627834E-2</v>
      </c>
      <c r="DH188" s="2" cm="1">
        <f t="array" aca="1" ref="DH188" ca="1">_FV(EE188,"Fechamento anterior",TRUE)</f>
        <v>1.57</v>
      </c>
      <c r="DI188" s="36">
        <f t="shared" ca="1" si="174"/>
        <v>0.11398229674035827</v>
      </c>
      <c r="DJ188" s="18">
        <f t="shared" ca="1" si="232"/>
        <v>1.5880094466936572</v>
      </c>
      <c r="DK188" s="18">
        <f t="shared" ca="1" si="233"/>
        <v>1.6054731525784158</v>
      </c>
      <c r="DL188" s="9"/>
      <c r="DM188" s="9"/>
      <c r="DN188" s="9"/>
      <c r="DO188" s="9"/>
      <c r="DP188" s="79">
        <v>2.104796720948264E-2</v>
      </c>
      <c r="DQ188" s="79">
        <v>3.5781544256120498E-2</v>
      </c>
      <c r="DR188" s="79">
        <v>2.1472053126729382E-2</v>
      </c>
      <c r="DS188" s="79">
        <f t="shared" ca="1" si="175"/>
        <v>1.1123379544432163E-2</v>
      </c>
      <c r="DT188" s="47"/>
      <c r="DU188" s="43">
        <f t="shared" si="176"/>
        <v>4.1533119314590326E-2</v>
      </c>
      <c r="DV188" s="83">
        <f t="shared" ca="1" si="177"/>
        <v>1.2567999999999999</v>
      </c>
      <c r="DW188" s="83">
        <f t="shared" ca="1" si="178"/>
        <v>-0.44320000000000004</v>
      </c>
      <c r="DX188" s="83">
        <f t="shared" ca="1" si="234"/>
        <v>1.7</v>
      </c>
      <c r="DY188" s="67"/>
      <c r="DZ188" s="67"/>
      <c r="EA188" s="85"/>
      <c r="EB188" s="44">
        <v>13200</v>
      </c>
      <c r="EC188" s="44" cm="1">
        <f t="array" aca="1" ref="EC188" ca="1">_FV(EE188,"Volume")</f>
        <v>3000</v>
      </c>
      <c r="EE188" s="2" t="e" vm="190">
        <v>#VALUE!</v>
      </c>
      <c r="EG188" s="10" cm="1">
        <f t="array" aca="1" ref="EG188" ca="1">_FV(EE188,"Ações em circulação",TRUE)</f>
        <v>260509800</v>
      </c>
      <c r="EH188" s="21">
        <f>VLOOKUP(BH188,Fundamentus!A:U,5,FALSE)</f>
        <v>0.26700000000000002</v>
      </c>
      <c r="EI188" s="2">
        <f t="shared" ca="1" si="180"/>
        <v>1551350494.3820224</v>
      </c>
      <c r="EJ188" s="20">
        <v>72455873.624719098</v>
      </c>
      <c r="EK188" s="20">
        <f t="shared" ca="1" si="181"/>
        <v>73378878.384269655</v>
      </c>
      <c r="EM188" s="40" t="str">
        <f>IF(VLOOKUP(BH188,Fundamentus!A:U,3,FALSE)&lt;15,"Bom",IF(VLOOKUP(BH188,Fundamentus!A:U,3,FALSE)&gt;15,"Ruim","n/a"))</f>
        <v>Bom</v>
      </c>
      <c r="EN188" s="36" t="str">
        <f>IF(VLOOKUP(BH188,Fundamentus!A:U,4,FALSE)&lt;1,"Baixo",IF(VLOOKUP(BH188,Fundamentus!A:U,4,FALSE)&lt;1.5,"Moderado",IF(VLOOKUP(BH188,Fundamentus!A:U,4,FALSE)&gt;1.5,"Alto","n/a")))</f>
        <v>Alto</v>
      </c>
      <c r="EO188" s="20" t="str">
        <f>IF(VLOOKUP(BH188,Fundamentus!A:U,8,FALSE)&lt;0,"Risco elevado",IF(VLOOKUP(BH188,Fundamentus!A:U,8,FALSE)&lt;1,"Saudável",IF(VLOOKUP(BH188,Fundamentus!A:U,8,FALSE)&lt;3,"Estável",IF(VLOOKUP(BH188,Fundamentus!A:U,8,FALSE)&gt;3,"Alerta","n/a"))))</f>
        <v>Risco elevado</v>
      </c>
      <c r="EP188" s="36" t="str">
        <f t="shared" si="182"/>
        <v>Ruim</v>
      </c>
      <c r="EQ188" s="20" t="str">
        <f>IF(VLOOKUP(BH188,Fundamentus!A:U,12,FALSE)&lt;2,"Subvalorizada",IF(VLOOKUP(BH188,Fundamentus!A:U,12,FALSE)&lt;6,"Muita barata",IF(VLOOKUP(BH188,Fundamentus!A:U,12,FALSE)&lt;6,"Barata",IF(VLOOKUP(BH188,Fundamentus!A:U,12,FALSE)&lt;8,"Atrativa",IF(VLOOKUP(BH188,Fundamentus!A:U,12,FALSE)&gt;8,"Supervalorizada","n/a")))))</f>
        <v>Muita barata</v>
      </c>
      <c r="ES188" s="20" t="str">
        <f>IF(VLOOKUP(BH188,Fundamentus!A:U,17,FALSE)&lt;0.1,"Fraco retorno",IF(VLOOKUP(BH188,Fundamentus!A:U,17,FALSE)&gt;0.1,"Bom retorno","n/a"))</f>
        <v>Bom retorno</v>
      </c>
      <c r="ET188" s="20" t="str">
        <f>IF(VLOOKUP(BH188,Fundamentus!A:U,16,FALSE)&lt;0.1,"Ineficiente",IF(VLOOKUP(BH188,Fundamentus!A:U,16,FALSE)&gt;0.1,"Eficiente","n/a"))</f>
        <v>Eficiente</v>
      </c>
      <c r="EU188" s="41" t="str">
        <f>IF(VLOOKUP(BH188,Fundamentus!A:U,16,FALSE)&lt;0.1,"Oper. Ineficiente",IF(VLOOKUP(BH188,Fundamentus!A:U,16,FALSE)&gt;0.1,"Oper.Eficiente","n/a"))</f>
        <v>Oper.Eficiente</v>
      </c>
      <c r="EV188" s="42">
        <f>VLOOKUP(BH188,Fundamentus!A:U,14,FALSE)</f>
        <v>4.7300000000000002E-2</v>
      </c>
      <c r="EW188" s="20" t="str">
        <f>IF(VLOOKUP(BH188,Fundamentus!A:U,21,FALSE)&lt;0,"Negativo",IF(VLOOKUP(BH188,Fundamentus!A:U,21,FALSE)&lt;0.05,"Fraco",IF(VLOOKUP(BH188,Fundamentus!A:U,21,FALSE)&lt;0.1,"Bom",IF(VLOOKUP(BH188,Fundamentus!A:U,21,FALSE)&gt;0.1,"Muito bom","n/a"))))</f>
        <v>Muito bom</v>
      </c>
      <c r="EY188" s="37" t="str">
        <f>IF(VLOOKUP(BH188,Fundamentus!A:U,15,FALSE)&gt;1,"Bom",IF(VLOOKUP(BH188,Fundamentus!A:U,15,FALSE)&lt;1,"Ruim","n/a"))</f>
        <v>Ruim</v>
      </c>
      <c r="EZ188" s="20" t="str">
        <f>IF(VLOOKUP(BH188,Fundamentus!A:U,20,FALSE)&lt;0.5,"Baixa",IF(VLOOKUP(BH188,Fundamentus!A:U,20,FALSE)&lt;1,"Moderada",IF(VLOOKUP(BH188,Fundamentus!A:U,20,FALSE)&lt;2,"Alerta",IF(VLOOKUP(BH188,Fundamentus!A:U,20,FALSE)&gt;2,"Alta","n/a"))))</f>
        <v>Alta</v>
      </c>
      <c r="FA188" s="10"/>
    </row>
    <row r="189" spans="1:157" s="2" customFormat="1" ht="11.25" hidden="1" x14ac:dyDescent="0.2">
      <c r="A189" s="4">
        <v>7.15</v>
      </c>
      <c r="B189" s="4">
        <v>6.89</v>
      </c>
      <c r="C189" s="4">
        <v>6.72</v>
      </c>
      <c r="D189" s="4">
        <v>6.63</v>
      </c>
      <c r="E189" s="4">
        <v>6.2</v>
      </c>
      <c r="F189" s="4">
        <v>6.28</v>
      </c>
      <c r="G189" s="4">
        <v>6.13</v>
      </c>
      <c r="H189" s="4">
        <v>5.89</v>
      </c>
      <c r="I189" s="4">
        <v>5.91</v>
      </c>
      <c r="J189" s="4">
        <v>6.23</v>
      </c>
      <c r="K189" s="4">
        <v>6.33</v>
      </c>
      <c r="L189" s="4">
        <v>5.9</v>
      </c>
      <c r="M189" s="4">
        <v>5.61</v>
      </c>
      <c r="N189" s="4">
        <v>6.07</v>
      </c>
      <c r="O189" s="4">
        <v>6.2</v>
      </c>
      <c r="P189" s="4">
        <v>5.83</v>
      </c>
      <c r="Q189" s="4">
        <v>6.09</v>
      </c>
      <c r="R189" s="4">
        <v>5.86</v>
      </c>
      <c r="S189" s="4">
        <v>5.83</v>
      </c>
      <c r="T189" s="4">
        <v>5.82</v>
      </c>
      <c r="U189" s="4">
        <v>5.79</v>
      </c>
      <c r="V189" s="4">
        <v>5.75</v>
      </c>
      <c r="W189" s="4">
        <v>5.67</v>
      </c>
      <c r="X189" s="4">
        <v>5.6</v>
      </c>
      <c r="Y189" s="4">
        <v>5.22</v>
      </c>
      <c r="Z189" s="4">
        <v>5.21</v>
      </c>
      <c r="AA189" s="4">
        <v>5.21</v>
      </c>
      <c r="AB189" s="4">
        <v>5.3</v>
      </c>
      <c r="AC189" s="4">
        <v>5.15</v>
      </c>
      <c r="AD189" s="4">
        <v>5.61</v>
      </c>
      <c r="AE189" s="4">
        <v>6.17</v>
      </c>
      <c r="AF189" s="4">
        <v>5.94</v>
      </c>
      <c r="AG189" s="4">
        <v>5.6</v>
      </c>
      <c r="AH189" s="4">
        <v>5.08</v>
      </c>
      <c r="AI189" s="4">
        <v>5.14</v>
      </c>
      <c r="AJ189" s="4">
        <v>5.07</v>
      </c>
      <c r="AK189" s="4">
        <v>4.9800000000000004</v>
      </c>
      <c r="AL189" s="4">
        <v>5.01</v>
      </c>
      <c r="AM189" s="4">
        <v>5.15</v>
      </c>
      <c r="AN189" s="4">
        <v>5.25</v>
      </c>
      <c r="AO189" s="4">
        <v>5.18</v>
      </c>
      <c r="AP189" s="4">
        <v>5.44</v>
      </c>
      <c r="AQ189" s="4">
        <v>5.49</v>
      </c>
      <c r="AR189" s="4">
        <v>5.4</v>
      </c>
      <c r="AS189" s="4">
        <v>5.32</v>
      </c>
      <c r="AT189" s="4">
        <v>4.99</v>
      </c>
      <c r="AU189" s="4">
        <v>4.9700000000000006</v>
      </c>
      <c r="AV189" s="4">
        <v>4.93</v>
      </c>
      <c r="AW189" s="4">
        <v>4.75</v>
      </c>
      <c r="AX189" s="4">
        <v>4.55</v>
      </c>
      <c r="AY189" s="12">
        <v>4.59</v>
      </c>
      <c r="AZ189" s="12">
        <v>4.68</v>
      </c>
      <c r="BA189" s="12">
        <v>4.5199999999999996</v>
      </c>
      <c r="BB189" s="18">
        <v>4.54</v>
      </c>
      <c r="BC189" s="63">
        <v>4.54</v>
      </c>
      <c r="BD189" s="63">
        <v>4.37</v>
      </c>
      <c r="BE189" s="63">
        <v>4.29</v>
      </c>
      <c r="BF189" s="63">
        <v>4.08</v>
      </c>
      <c r="BG189" s="91" cm="1">
        <f t="array" aca="1" ref="BG189" ca="1">_FV(EE189,"Preço")</f>
        <v>4.03</v>
      </c>
      <c r="BH189" s="93" t="s">
        <v>186</v>
      </c>
      <c r="BI189" s="32" cm="1">
        <f t="array" aca="1" ref="BI189" ca="1">_FV(EE189,"Beta")</f>
        <v>1.9407000000000001</v>
      </c>
      <c r="BJ189" s="96" cm="1">
        <f t="array" aca="1" ref="BJ189" ca="1">_FV(EE189,"Variação (%)",TRUE)</f>
        <v>-2.4212999999999998E-2</v>
      </c>
      <c r="BK189" s="49"/>
      <c r="BL189" s="49"/>
      <c r="BN189" s="32"/>
      <c r="BO189" s="20" cm="1">
        <f t="array" aca="1" ref="BO189" ca="1">_FV(EE189,"Baixo")</f>
        <v>4.03</v>
      </c>
      <c r="BP189" s="20" cm="1">
        <f t="array" aca="1" ref="BP189" ca="1">_FV(EE189,"Alto")</f>
        <v>4.17</v>
      </c>
      <c r="BQ189" s="32"/>
      <c r="BR189" s="74">
        <f ca="1">SQRT(22.5*(BG189/VLOOKUP(BH189,Fundamentus!A:U,3,FALSE))*(BG189/VLOOKUP(BH189,Fundamentus!A:U,4,FALSE)))</f>
        <v>11.11093097639267</v>
      </c>
      <c r="BT189" s="73">
        <f t="shared" ca="1" si="158"/>
        <v>-1.225490196078427E-2</v>
      </c>
      <c r="BU189" s="36">
        <f t="shared" si="159"/>
        <v>-0.4</v>
      </c>
      <c r="BV189" s="8"/>
      <c r="BW189" s="72">
        <f t="shared" si="160"/>
        <v>4.08</v>
      </c>
      <c r="BX189" s="72">
        <f t="shared" si="161"/>
        <v>5.4844827586206915</v>
      </c>
      <c r="BY189" s="72">
        <f t="shared" si="162"/>
        <v>7.15</v>
      </c>
      <c r="BZ189" s="17"/>
      <c r="CA189" s="17"/>
      <c r="CB189" s="43">
        <f t="shared" si="163"/>
        <v>3.6345760003578245</v>
      </c>
      <c r="CC189" s="18">
        <f t="shared" si="164"/>
        <v>3.9653327085286492</v>
      </c>
      <c r="CD189" s="43">
        <f t="shared" si="165"/>
        <v>4.2960894166994734</v>
      </c>
      <c r="CE189" s="98">
        <f t="shared" ca="1" si="166"/>
        <v>0.19551316684997544</v>
      </c>
      <c r="CF189" s="17"/>
      <c r="CG189" s="20">
        <f t="shared" si="167"/>
        <v>-1.3333333333333641E-2</v>
      </c>
      <c r="CH189" s="20">
        <f t="shared" si="168"/>
        <v>2.0333333333333332</v>
      </c>
      <c r="CI189" s="20">
        <f t="shared" si="169"/>
        <v>3.0566666666666666</v>
      </c>
      <c r="CJ189" s="49">
        <f t="shared" si="170"/>
        <v>5.1033333333333335</v>
      </c>
      <c r="CK189" s="20">
        <f t="shared" si="171"/>
        <v>6.1266666666666669</v>
      </c>
      <c r="CL189" s="20">
        <f t="shared" si="172"/>
        <v>8.1733333333333338</v>
      </c>
      <c r="CM189" s="20">
        <f t="shared" si="173"/>
        <v>9.1966666666666672</v>
      </c>
      <c r="CN189" s="2" cm="1">
        <f t="array" aca="1" ref="CN189" ca="1">MAX(_xlfn._xlws.FILTER(CG189:CM189,CG189:CM189&lt;BG189))</f>
        <v>3.0566666666666666</v>
      </c>
      <c r="CO189" s="2" cm="1">
        <f t="array" aca="1" ref="CO189" ca="1">MIN(_xlfn._xlws.FILTER($CG189:$CM189,$CG189:$CM189&gt;BG189))</f>
        <v>5.1033333333333335</v>
      </c>
      <c r="CP189" s="19">
        <f t="shared" ca="1" si="217"/>
        <v>0.66957470010905129</v>
      </c>
      <c r="CQ189" s="23">
        <f t="shared" ca="1" si="218"/>
        <v>-0.33478735005452565</v>
      </c>
      <c r="CR189" s="23">
        <f t="shared" ca="1" si="219"/>
        <v>-0.2231915667030171</v>
      </c>
      <c r="CS189" s="23">
        <f t="shared" ca="1" si="220"/>
        <v>-0.13391494002181026</v>
      </c>
      <c r="CT189" s="23">
        <f t="shared" ca="1" si="221"/>
        <v>-7.4397188901005704E-2</v>
      </c>
      <c r="CU189" s="23">
        <f t="shared" ca="1" si="222"/>
        <v>-3.9386747065238314E-2</v>
      </c>
      <c r="CV189" s="23">
        <f t="shared" ca="1" si="223"/>
        <v>-2.0290142427547009E-2</v>
      </c>
      <c r="CW189" s="23">
        <f t="shared" ca="1" si="224"/>
        <v>-1.0301149232446943E-2</v>
      </c>
      <c r="CX189" s="24">
        <f t="shared" ca="1" si="225"/>
        <v>1.0301149232446943E-2</v>
      </c>
      <c r="CY189" s="24">
        <f t="shared" ca="1" si="226"/>
        <v>2.0290142427547009E-2</v>
      </c>
      <c r="CZ189" s="24">
        <f t="shared" ca="1" si="227"/>
        <v>3.9386747065238314E-2</v>
      </c>
      <c r="DA189" s="24">
        <f t="shared" ca="1" si="228"/>
        <v>7.4397188901005704E-2</v>
      </c>
      <c r="DB189" s="24">
        <f t="shared" ca="1" si="229"/>
        <v>0.13391494002181026</v>
      </c>
      <c r="DC189" s="24">
        <f t="shared" ca="1" si="230"/>
        <v>0.2231915667030171</v>
      </c>
      <c r="DD189" s="24">
        <f t="shared" ca="1" si="231"/>
        <v>0.33478735005452565</v>
      </c>
      <c r="DF189" s="19" cm="1">
        <f t="array" aca="1" ref="DF189" ca="1">MAX(_xlfn._xlws.FILTER(CQ189:DD189,CQ189:DD189&lt;BJ189))</f>
        <v>-3.9386747065238314E-2</v>
      </c>
      <c r="DG189" s="19" cm="1">
        <f t="array" aca="1" ref="DG189" ca="1">MIN(_xlfn._xlws.FILTER(CQ189:DD189,CQ189:DD189&gt;BJ189))</f>
        <v>-2.0290142427547009E-2</v>
      </c>
      <c r="DH189" s="2" cm="1">
        <f t="array" aca="1" ref="DH189" ca="1">_FV(EE189,"Fechamento anterior",TRUE)</f>
        <v>4.13</v>
      </c>
      <c r="DI189" s="36">
        <f t="shared" ca="1" si="174"/>
        <v>0.79457433887263917</v>
      </c>
      <c r="DJ189" s="18">
        <f t="shared" ca="1" si="232"/>
        <v>3.9673327346205656</v>
      </c>
      <c r="DK189" s="18">
        <f t="shared" ca="1" si="233"/>
        <v>4.0462017117742306</v>
      </c>
      <c r="DL189" s="9"/>
      <c r="DM189" s="9"/>
      <c r="DN189" s="9"/>
      <c r="DO189" s="9"/>
      <c r="DP189" s="79">
        <v>7.1794018729059933E-3</v>
      </c>
      <c r="DQ189" s="79">
        <v>8.5248085248085283E-3</v>
      </c>
      <c r="DR189" s="79">
        <v>9.9889931951000696E-3</v>
      </c>
      <c r="DS189" s="79">
        <f t="shared" ca="1" si="175"/>
        <v>1.9096604637691306E-2</v>
      </c>
      <c r="DT189" s="47"/>
      <c r="DU189" s="43">
        <f t="shared" si="176"/>
        <v>0.16537835408541227</v>
      </c>
      <c r="DV189" s="83">
        <f t="shared" ca="1" si="177"/>
        <v>2.3668</v>
      </c>
      <c r="DW189" s="83">
        <f t="shared" ca="1" si="178"/>
        <v>4.3620000000000001</v>
      </c>
      <c r="DX189" s="83">
        <f t="shared" ca="1" si="234"/>
        <v>-1.9952000000000001</v>
      </c>
      <c r="DY189" s="67"/>
      <c r="DZ189" s="67"/>
      <c r="EA189" s="85"/>
      <c r="EB189" s="44">
        <v>129000</v>
      </c>
      <c r="EC189" s="44" cm="1">
        <f t="array" aca="1" ref="EC189" ca="1">_FV(EE189,"Volume")</f>
        <v>63100</v>
      </c>
      <c r="EE189" s="2" t="e" vm="191">
        <v>#VALUE!</v>
      </c>
      <c r="EG189" s="10" cm="1">
        <f t="array" aca="1" ref="EG189" ca="1">_FV(EE189,"Ações em circulação",TRUE)</f>
        <v>61776580</v>
      </c>
      <c r="EH189" s="21">
        <f>VLOOKUP(BH189,Fundamentus!A:U,5,FALSE)</f>
        <v>0.218</v>
      </c>
      <c r="EI189" s="2">
        <f t="shared" ca="1" si="180"/>
        <v>1142016593.5779817</v>
      </c>
      <c r="EJ189" s="20">
        <v>27285978.601100918</v>
      </c>
      <c r="EK189" s="20">
        <f t="shared" ca="1" si="181"/>
        <v>26951591.608440369</v>
      </c>
      <c r="EM189" s="40" t="str">
        <f>IF(VLOOKUP(BH189,Fundamentus!A:U,3,FALSE)&lt;15,"Bom",IF(VLOOKUP(BH189,Fundamentus!A:U,3,FALSE)&gt;15,"Ruim","n/a"))</f>
        <v>Bom</v>
      </c>
      <c r="EN189" s="36" t="str">
        <f>IF(VLOOKUP(BH189,Fundamentus!A:U,4,FALSE)&lt;1,"Baixo",IF(VLOOKUP(BH189,Fundamentus!A:U,4,FALSE)&lt;1.5,"Moderado",IF(VLOOKUP(BH189,Fundamentus!A:U,4,FALSE)&gt;1.5,"Alto","n/a")))</f>
        <v>Baixo</v>
      </c>
      <c r="EO189" s="20" t="str">
        <f>IF(VLOOKUP(BH189,Fundamentus!A:U,8,FALSE)&lt;0,"Risco elevado",IF(VLOOKUP(BH189,Fundamentus!A:U,8,FALSE)&lt;1,"Saudável",IF(VLOOKUP(BH189,Fundamentus!A:U,8,FALSE)&lt;3,"Estável",IF(VLOOKUP(BH189,Fundamentus!A:U,8,FALSE)&gt;3,"Alerta","n/a"))))</f>
        <v>Estável</v>
      </c>
      <c r="EP189" s="36" t="str">
        <f t="shared" si="182"/>
        <v>Ruim</v>
      </c>
      <c r="EQ189" s="20" t="str">
        <f>IF(VLOOKUP(BH189,Fundamentus!A:U,12,FALSE)&lt;2,"Subvalorizada",IF(VLOOKUP(BH189,Fundamentus!A:U,12,FALSE)&lt;6,"Muita barata",IF(VLOOKUP(BH189,Fundamentus!A:U,12,FALSE)&lt;6,"Barata",IF(VLOOKUP(BH189,Fundamentus!A:U,12,FALSE)&lt;8,"Atrativa",IF(VLOOKUP(BH189,Fundamentus!A:U,12,FALSE)&gt;8,"Supervalorizada","n/a")))))</f>
        <v>Muita barata</v>
      </c>
      <c r="ES189" s="20" t="str">
        <f>IF(VLOOKUP(BH189,Fundamentus!A:U,17,FALSE)&lt;0.1,"Fraco retorno",IF(VLOOKUP(BH189,Fundamentus!A:U,17,FALSE)&gt;0.1,"Bom retorno","n/a"))</f>
        <v>Fraco retorno</v>
      </c>
      <c r="ET189" s="20" t="str">
        <f>IF(VLOOKUP(BH189,Fundamentus!A:U,16,FALSE)&lt;0.1,"Ineficiente",IF(VLOOKUP(BH189,Fundamentus!A:U,16,FALSE)&gt;0.1,"Eficiente","n/a"))</f>
        <v>Ineficiente</v>
      </c>
      <c r="EU189" s="41" t="str">
        <f>IF(VLOOKUP(BH189,Fundamentus!A:U,16,FALSE)&lt;0.1,"Oper. Ineficiente",IF(VLOOKUP(BH189,Fundamentus!A:U,16,FALSE)&gt;0.1,"Oper.Eficiente","n/a"))</f>
        <v>Oper. Ineficiente</v>
      </c>
      <c r="EV189" s="42">
        <f>VLOOKUP(BH189,Fundamentus!A:U,14,FALSE)</f>
        <v>2.3599999999999999E-2</v>
      </c>
      <c r="EW189" s="20" t="str">
        <f>IF(VLOOKUP(BH189,Fundamentus!A:U,21,FALSE)&lt;0,"Negativo",IF(VLOOKUP(BH189,Fundamentus!A:U,21,FALSE)&lt;0.05,"Fraco",IF(VLOOKUP(BH189,Fundamentus!A:U,21,FALSE)&lt;0.1,"Bom",IF(VLOOKUP(BH189,Fundamentus!A:U,21,FALSE)&gt;0.1,"Muito bom","n/a"))))</f>
        <v>Bom</v>
      </c>
      <c r="EY189" s="37" t="str">
        <f>IF(VLOOKUP(BH189,Fundamentus!A:U,15,FALSE)&gt;1,"Bom",IF(VLOOKUP(BH189,Fundamentus!A:U,15,FALSE)&lt;1,"Ruim","n/a"))</f>
        <v>Bom</v>
      </c>
      <c r="EZ189" s="20" t="str">
        <f>IF(VLOOKUP(BH189,Fundamentus!A:U,20,FALSE)&lt;0.5,"Baixa",IF(VLOOKUP(BH189,Fundamentus!A:U,20,FALSE)&lt;1,"Moderada",IF(VLOOKUP(BH189,Fundamentus!A:U,20,FALSE)&lt;2,"Alerta",IF(VLOOKUP(BH189,Fundamentus!A:U,20,FALSE)&gt;2,"Alta","n/a"))))</f>
        <v>Baixa</v>
      </c>
      <c r="FA189" s="10"/>
    </row>
    <row r="190" spans="1:157" s="2" customFormat="1" ht="11.25" hidden="1" x14ac:dyDescent="0.2">
      <c r="A190" s="4">
        <v>0.95</v>
      </c>
      <c r="B190" s="4">
        <v>1.01</v>
      </c>
      <c r="C190" s="4">
        <v>1.18</v>
      </c>
      <c r="D190" s="4">
        <v>1.18</v>
      </c>
      <c r="E190" s="4">
        <v>1.1599999999999999</v>
      </c>
      <c r="F190" s="4">
        <v>1.1200000000000001</v>
      </c>
      <c r="G190" s="4">
        <v>1.07</v>
      </c>
      <c r="H190" s="4">
        <v>1.02</v>
      </c>
      <c r="I190" s="4">
        <v>1.02</v>
      </c>
      <c r="J190" s="4">
        <v>1.05</v>
      </c>
      <c r="K190" s="4">
        <v>1.08</v>
      </c>
      <c r="L190" s="4">
        <v>1.05</v>
      </c>
      <c r="M190" s="4">
        <v>0.99</v>
      </c>
      <c r="N190" s="4">
        <v>1</v>
      </c>
      <c r="O190" s="4">
        <v>1.03</v>
      </c>
      <c r="P190" s="4">
        <v>1</v>
      </c>
      <c r="Q190" s="4">
        <v>1.0900000000000001</v>
      </c>
      <c r="R190" s="4">
        <v>1.06</v>
      </c>
      <c r="S190" s="4">
        <v>1.1399999999999999</v>
      </c>
      <c r="T190" s="4">
        <v>1.1100000000000001</v>
      </c>
      <c r="U190" s="4">
        <v>1.05</v>
      </c>
      <c r="V190" s="4">
        <v>1.05</v>
      </c>
      <c r="W190" s="4">
        <v>1</v>
      </c>
      <c r="X190" s="4">
        <v>0.97</v>
      </c>
      <c r="Y190" s="4">
        <v>0.94</v>
      </c>
      <c r="Z190" s="4">
        <v>0.94</v>
      </c>
      <c r="AA190" s="4">
        <v>0.95</v>
      </c>
      <c r="AB190" s="4">
        <v>1.02</v>
      </c>
      <c r="AC190" s="4">
        <v>0.96</v>
      </c>
      <c r="AD190" s="4">
        <v>0.96</v>
      </c>
      <c r="AE190" s="4">
        <v>0.89</v>
      </c>
      <c r="AF190" s="4">
        <v>0.84</v>
      </c>
      <c r="AG190" s="4">
        <v>0.81</v>
      </c>
      <c r="AH190" s="4">
        <v>0.71</v>
      </c>
      <c r="AI190" s="4">
        <v>0.72</v>
      </c>
      <c r="AJ190" s="4">
        <v>0.73</v>
      </c>
      <c r="AK190" s="4">
        <v>0.71</v>
      </c>
      <c r="AL190" s="4">
        <v>0.73</v>
      </c>
      <c r="AM190" s="4">
        <v>0.75</v>
      </c>
      <c r="AN190" s="4">
        <v>0.73</v>
      </c>
      <c r="AO190" s="4">
        <v>0.72</v>
      </c>
      <c r="AP190" s="4">
        <v>0.72</v>
      </c>
      <c r="AQ190" s="4">
        <v>0.72</v>
      </c>
      <c r="AR190" s="4">
        <v>0.71</v>
      </c>
      <c r="AS190" s="4">
        <v>0.67</v>
      </c>
      <c r="AT190" s="4">
        <v>0.71</v>
      </c>
      <c r="AU190" s="4">
        <v>0.73</v>
      </c>
      <c r="AV190" s="4">
        <v>0.73</v>
      </c>
      <c r="AW190" s="4">
        <v>0.71</v>
      </c>
      <c r="AX190" s="4">
        <v>0.72</v>
      </c>
      <c r="AY190" s="12">
        <v>0.77</v>
      </c>
      <c r="AZ190" s="12">
        <v>0.8</v>
      </c>
      <c r="BA190" s="12">
        <v>0.82</v>
      </c>
      <c r="BB190" s="18">
        <v>0.89</v>
      </c>
      <c r="BC190" s="63">
        <v>0.94</v>
      </c>
      <c r="BD190" s="63">
        <v>1.1200000000000001</v>
      </c>
      <c r="BE190" s="63">
        <v>1</v>
      </c>
      <c r="BF190" s="63">
        <v>1.01</v>
      </c>
      <c r="BG190" s="91" cm="1">
        <f t="array" aca="1" ref="BG190" ca="1">_FV(EE190,"Preço")</f>
        <v>1.02</v>
      </c>
      <c r="BH190" s="93" t="s">
        <v>180</v>
      </c>
      <c r="BI190" s="32" cm="1">
        <f t="array" aca="1" ref="BI190" ca="1">_FV(EE190,"Beta")</f>
        <v>1.6117999999999999</v>
      </c>
      <c r="BJ190" s="96" cm="1">
        <f t="array" aca="1" ref="BJ190" ca="1">_FV(EE190,"Variação (%)",TRUE)</f>
        <v>-9.7090000000000006E-3</v>
      </c>
      <c r="BK190" s="49"/>
      <c r="BL190" s="49"/>
      <c r="BN190" s="32"/>
      <c r="BO190" s="20" cm="1">
        <f t="array" aca="1" ref="BO190" ca="1">_FV(EE190,"Baixo")</f>
        <v>1</v>
      </c>
      <c r="BP190" s="20" cm="1">
        <f t="array" aca="1" ref="BP190" ca="1">_FV(EE190,"Alto")</f>
        <v>1.02</v>
      </c>
      <c r="BQ190" s="32"/>
      <c r="BR190" s="74">
        <f ca="1">SQRT(22.5*(BG190/VLOOKUP(BH190,Fundamentus!A:U,3,FALSE))*(BG190/VLOOKUP(BH190,Fundamentus!A:U,4,FALSE)))</f>
        <v>1.1470670638846572</v>
      </c>
      <c r="BT190" s="73">
        <f t="shared" ca="1" si="158"/>
        <v>9.9009900990099098E-3</v>
      </c>
      <c r="BU190" s="36">
        <f t="shared" si="159"/>
        <v>5.2631578947368474E-2</v>
      </c>
      <c r="BV190" s="8"/>
      <c r="BW190" s="72">
        <f t="shared" si="160"/>
        <v>0.67</v>
      </c>
      <c r="BX190" s="72">
        <f t="shared" si="161"/>
        <v>0.91827586206896528</v>
      </c>
      <c r="BY190" s="72">
        <f t="shared" si="162"/>
        <v>1.18</v>
      </c>
      <c r="BZ190" s="17"/>
      <c r="CA190" s="17"/>
      <c r="CB190" s="43">
        <f t="shared" si="163"/>
        <v>0.91371380892623499</v>
      </c>
      <c r="CC190" s="18">
        <f t="shared" si="164"/>
        <v>1.0436176194939009</v>
      </c>
      <c r="CD190" s="43">
        <f t="shared" si="165"/>
        <v>1.1735214300615668</v>
      </c>
      <c r="CE190" s="98">
        <f t="shared" ca="1" si="166"/>
        <v>-0.18180851963229064</v>
      </c>
      <c r="CF190" s="17"/>
      <c r="CG190" s="20">
        <f t="shared" si="167"/>
        <v>0.21666666666666712</v>
      </c>
      <c r="CH190" s="20">
        <f t="shared" si="168"/>
        <v>0.44333333333333358</v>
      </c>
      <c r="CI190" s="20">
        <f t="shared" si="169"/>
        <v>0.72666666666666702</v>
      </c>
      <c r="CJ190" s="49">
        <f t="shared" si="170"/>
        <v>0.95333333333333348</v>
      </c>
      <c r="CK190" s="20">
        <f t="shared" si="171"/>
        <v>1.2366666666666668</v>
      </c>
      <c r="CL190" s="20">
        <f t="shared" si="172"/>
        <v>1.4633333333333334</v>
      </c>
      <c r="CM190" s="20">
        <f t="shared" si="173"/>
        <v>1.7466666666666668</v>
      </c>
      <c r="CN190" s="2" cm="1">
        <f t="array" aca="1" ref="CN190" ca="1">MAX(_xlfn._xlws.FILTER(CG190:CM190,CG190:CM190&lt;BG190))</f>
        <v>0.95333333333333348</v>
      </c>
      <c r="CO190" s="2" cm="1">
        <f t="array" aca="1" ref="CO190" ca="1">MIN(_xlfn._xlws.FILTER($CG190:$CM190,$CG190:$CM190&gt;BG190))</f>
        <v>1.2366666666666668</v>
      </c>
      <c r="CP190" s="19">
        <f t="shared" ca="1" si="217"/>
        <v>0.29720279720279708</v>
      </c>
      <c r="CQ190" s="23">
        <f t="shared" ca="1" si="218"/>
        <v>-0.14860139860139854</v>
      </c>
      <c r="CR190" s="23">
        <f t="shared" ca="1" si="219"/>
        <v>-9.906759906759903E-2</v>
      </c>
      <c r="CS190" s="23">
        <f t="shared" ca="1" si="220"/>
        <v>-5.9440559440559412E-2</v>
      </c>
      <c r="CT190" s="23">
        <f t="shared" ca="1" si="221"/>
        <v>-3.302253302253301E-2</v>
      </c>
      <c r="CU190" s="23">
        <f t="shared" ca="1" si="222"/>
        <v>-1.7482517482517473E-2</v>
      </c>
      <c r="CV190" s="23">
        <f t="shared" ca="1" si="223"/>
        <v>-9.0061453697817297E-3</v>
      </c>
      <c r="CW190" s="23">
        <f t="shared" ca="1" si="224"/>
        <v>-4.572350726196878E-3</v>
      </c>
      <c r="CX190" s="24">
        <f t="shared" ca="1" si="225"/>
        <v>4.572350726196878E-3</v>
      </c>
      <c r="CY190" s="24">
        <f t="shared" ca="1" si="226"/>
        <v>9.0061453697817297E-3</v>
      </c>
      <c r="CZ190" s="24">
        <f t="shared" ca="1" si="227"/>
        <v>1.7482517482517473E-2</v>
      </c>
      <c r="DA190" s="24">
        <f t="shared" ca="1" si="228"/>
        <v>3.302253302253301E-2</v>
      </c>
      <c r="DB190" s="24">
        <f t="shared" ca="1" si="229"/>
        <v>5.9440559440559412E-2</v>
      </c>
      <c r="DC190" s="24">
        <f t="shared" ca="1" si="230"/>
        <v>9.906759906759903E-2</v>
      </c>
      <c r="DD190" s="24">
        <f t="shared" ca="1" si="231"/>
        <v>0.14860139860139854</v>
      </c>
      <c r="DF190" s="19" cm="1">
        <f t="array" aca="1" ref="DF190" ca="1">MAX(_xlfn._xlws.FILTER(CQ190:DD190,CQ190:DD190&lt;BJ190))</f>
        <v>-1.7482517482517473E-2</v>
      </c>
      <c r="DG190" s="19" cm="1">
        <f t="array" aca="1" ref="DG190" ca="1">MIN(_xlfn._xlws.FILTER(CQ190:DD190,CQ190:DD190&gt;BJ190))</f>
        <v>-9.0061453697817297E-3</v>
      </c>
      <c r="DH190" s="2" cm="1">
        <f t="array" aca="1" ref="DH190" ca="1">_FV(EE190,"Fechamento anterior",TRUE)</f>
        <v>1.03</v>
      </c>
      <c r="DI190" s="36">
        <f t="shared" ca="1" si="174"/>
        <v>0.91711165048542831</v>
      </c>
      <c r="DJ190" s="18">
        <f t="shared" ca="1" si="232"/>
        <v>1.011993006993007</v>
      </c>
      <c r="DK190" s="18">
        <f t="shared" ca="1" si="233"/>
        <v>1.0207236702691249</v>
      </c>
      <c r="DL190" s="9"/>
      <c r="DM190" s="9"/>
      <c r="DN190" s="9"/>
      <c r="DO190" s="9"/>
      <c r="DP190" s="79">
        <v>2.5079365079365049E-2</v>
      </c>
      <c r="DQ190" s="79">
        <v>2.5079365079365049E-2</v>
      </c>
      <c r="DR190" s="79">
        <v>8.0468551056786242E-3</v>
      </c>
      <c r="DS190" s="79">
        <f t="shared" ca="1" si="175"/>
        <v>8.4763721127357437E-3</v>
      </c>
      <c r="DT190" s="47"/>
      <c r="DU190" s="43">
        <f t="shared" si="176"/>
        <v>6.4951905283832947E-2</v>
      </c>
      <c r="DV190" s="83">
        <f t="shared" ca="1" si="177"/>
        <v>2.0379</v>
      </c>
      <c r="DW190" s="83">
        <f t="shared" ca="1" si="178"/>
        <v>2.5827</v>
      </c>
      <c r="DX190" s="83">
        <f t="shared" ca="1" si="234"/>
        <v>-0.54479999999999995</v>
      </c>
      <c r="DY190" s="67"/>
      <c r="DZ190" s="67"/>
      <c r="EA190" s="85"/>
      <c r="EB190" s="44">
        <v>234000</v>
      </c>
      <c r="EC190" s="44" cm="1">
        <f t="array" aca="1" ref="EC190" ca="1">_FV(EE190,"Volume")</f>
        <v>191200</v>
      </c>
      <c r="EE190" s="2" t="e" vm="192">
        <v>#VALUE!</v>
      </c>
      <c r="EG190" s="10" cm="1">
        <f t="array" aca="1" ref="EG190" ca="1">_FV(EE190,"Ações em circulação",TRUE)</f>
        <v>361423100</v>
      </c>
      <c r="EH190" s="21">
        <f>VLOOKUP(BH190,Fundamentus!A:U,5,FALSE)</f>
        <v>0.35599999999999998</v>
      </c>
      <c r="EI190" s="2">
        <f t="shared" ca="1" si="180"/>
        <v>1035538095.505618</v>
      </c>
      <c r="EJ190" s="20">
        <v>8100547.5137640461</v>
      </c>
      <c r="EK190" s="20">
        <f t="shared" ca="1" si="181"/>
        <v>8180750.9544943832</v>
      </c>
      <c r="EM190" s="40" t="str">
        <f>IF(VLOOKUP(BH190,Fundamentus!A:U,3,FALSE)&lt;15,"Bom",IF(VLOOKUP(BH190,Fundamentus!A:U,3,FALSE)&gt;15,"Ruim","n/a"))</f>
        <v>Ruim</v>
      </c>
      <c r="EN190" s="36" t="str">
        <f>IF(VLOOKUP(BH190,Fundamentus!A:U,4,FALSE)&lt;1,"Baixo",IF(VLOOKUP(BH190,Fundamentus!A:U,4,FALSE)&lt;1.5,"Moderado",IF(VLOOKUP(BH190,Fundamentus!A:U,4,FALSE)&gt;1.5,"Alto","n/a")))</f>
        <v>Baixo</v>
      </c>
      <c r="EO190" s="20" t="str">
        <f>IF(VLOOKUP(BH190,Fundamentus!A:U,8,FALSE)&lt;0,"Risco elevado",IF(VLOOKUP(BH190,Fundamentus!A:U,8,FALSE)&lt;1,"Saudável",IF(VLOOKUP(BH190,Fundamentus!A:U,8,FALSE)&lt;3,"Estável",IF(VLOOKUP(BH190,Fundamentus!A:U,8,FALSE)&gt;3,"Alerta","n/a"))))</f>
        <v>Estável</v>
      </c>
      <c r="EP190" s="36" t="str">
        <f t="shared" si="182"/>
        <v>Ruim</v>
      </c>
      <c r="EQ190" s="20" t="str">
        <f>IF(VLOOKUP(BH190,Fundamentus!A:U,12,FALSE)&lt;2,"Subvalorizada",IF(VLOOKUP(BH190,Fundamentus!A:U,12,FALSE)&lt;6,"Muita barata",IF(VLOOKUP(BH190,Fundamentus!A:U,12,FALSE)&lt;6,"Barata",IF(VLOOKUP(BH190,Fundamentus!A:U,12,FALSE)&lt;8,"Atrativa",IF(VLOOKUP(BH190,Fundamentus!A:U,12,FALSE)&gt;8,"Supervalorizada","n/a")))))</f>
        <v>Muita barata</v>
      </c>
      <c r="ES190" s="20" t="str">
        <f>IF(VLOOKUP(BH190,Fundamentus!A:U,17,FALSE)&lt;0.1,"Fraco retorno",IF(VLOOKUP(BH190,Fundamentus!A:U,17,FALSE)&gt;0.1,"Bom retorno","n/a"))</f>
        <v>Fraco retorno</v>
      </c>
      <c r="ET190" s="20" t="str">
        <f>IF(VLOOKUP(BH190,Fundamentus!A:U,16,FALSE)&lt;0.1,"Ineficiente",IF(VLOOKUP(BH190,Fundamentus!A:U,16,FALSE)&gt;0.1,"Eficiente","n/a"))</f>
        <v>Ineficiente</v>
      </c>
      <c r="EU190" s="41" t="str">
        <f>IF(VLOOKUP(BH190,Fundamentus!A:U,16,FALSE)&lt;0.1,"Oper. Ineficiente",IF(VLOOKUP(BH190,Fundamentus!A:U,16,FALSE)&gt;0.1,"Oper.Eficiente","n/a"))</f>
        <v>Oper. Ineficiente</v>
      </c>
      <c r="EV190" s="42">
        <f>VLOOKUP(BH190,Fundamentus!A:U,14,FALSE)</f>
        <v>7.9000000000000008E-3</v>
      </c>
      <c r="EW190" s="20" t="str">
        <f>IF(VLOOKUP(BH190,Fundamentus!A:U,21,FALSE)&lt;0,"Negativo",IF(VLOOKUP(BH190,Fundamentus!A:U,21,FALSE)&lt;0.05,"Fraco",IF(VLOOKUP(BH190,Fundamentus!A:U,21,FALSE)&lt;0.1,"Bom",IF(VLOOKUP(BH190,Fundamentus!A:U,21,FALSE)&gt;0.1,"Muito bom","n/a"))))</f>
        <v>Muito bom</v>
      </c>
      <c r="EY190" s="37" t="str">
        <f>IF(VLOOKUP(BH190,Fundamentus!A:U,15,FALSE)&gt;1,"Bom",IF(VLOOKUP(BH190,Fundamentus!A:U,15,FALSE)&lt;1,"Ruim","n/a"))</f>
        <v>Bom</v>
      </c>
      <c r="EZ190" s="20" t="str">
        <f>IF(VLOOKUP(BH190,Fundamentus!A:U,20,FALSE)&lt;0.5,"Baixa",IF(VLOOKUP(BH190,Fundamentus!A:U,20,FALSE)&lt;1,"Moderada",IF(VLOOKUP(BH190,Fundamentus!A:U,20,FALSE)&lt;2,"Alerta",IF(VLOOKUP(BH190,Fundamentus!A:U,20,FALSE)&gt;2,"Alta","n/a"))))</f>
        <v>Moderada</v>
      </c>
      <c r="FA190" s="10"/>
    </row>
    <row r="191" spans="1:157" s="2" customFormat="1" ht="11.25" hidden="1" x14ac:dyDescent="0.2">
      <c r="A191" s="4">
        <v>5.81</v>
      </c>
      <c r="B191" s="4">
        <v>5.68</v>
      </c>
      <c r="C191" s="4">
        <v>5.63</v>
      </c>
      <c r="D191" s="4">
        <v>5.54</v>
      </c>
      <c r="E191" s="4">
        <v>5.0199999999999996</v>
      </c>
      <c r="F191" s="4">
        <v>5</v>
      </c>
      <c r="G191" s="4">
        <v>4.87</v>
      </c>
      <c r="H191" s="4">
        <v>4.66</v>
      </c>
      <c r="I191" s="4">
        <v>4.5</v>
      </c>
      <c r="J191" s="4">
        <v>4.97</v>
      </c>
      <c r="K191" s="4">
        <v>5</v>
      </c>
      <c r="L191" s="4">
        <v>4.49</v>
      </c>
      <c r="M191" s="4">
        <v>4.91</v>
      </c>
      <c r="N191" s="4">
        <v>4.6900000000000004</v>
      </c>
      <c r="O191" s="4">
        <v>4.6100000000000003</v>
      </c>
      <c r="P191" s="4">
        <v>4.41</v>
      </c>
      <c r="Q191" s="4">
        <v>4.7699999999999996</v>
      </c>
      <c r="R191" s="4">
        <v>4.66</v>
      </c>
      <c r="S191" s="4">
        <v>4.7</v>
      </c>
      <c r="T191" s="4">
        <v>4.83</v>
      </c>
      <c r="U191" s="4">
        <v>4.54</v>
      </c>
      <c r="V191" s="4">
        <v>4.49</v>
      </c>
      <c r="W191" s="4">
        <v>4.63</v>
      </c>
      <c r="X191" s="4">
        <v>4.45</v>
      </c>
      <c r="Y191" s="4">
        <v>4.25</v>
      </c>
      <c r="Z191" s="4">
        <v>4.18</v>
      </c>
      <c r="AA191" s="4">
        <v>4.07</v>
      </c>
      <c r="AB191" s="4">
        <v>4.43</v>
      </c>
      <c r="AC191" s="4">
        <v>4.3</v>
      </c>
      <c r="AD191" s="4">
        <v>4.24</v>
      </c>
      <c r="AE191" s="4">
        <v>4.13</v>
      </c>
      <c r="AF191" s="4">
        <v>3.93</v>
      </c>
      <c r="AG191" s="4">
        <v>3.95</v>
      </c>
      <c r="AH191" s="4">
        <v>3.61</v>
      </c>
      <c r="AI191" s="4">
        <v>3.56</v>
      </c>
      <c r="AJ191" s="4">
        <v>3.61</v>
      </c>
      <c r="AK191" s="4">
        <v>3.65</v>
      </c>
      <c r="AL191" s="4">
        <v>3.51</v>
      </c>
      <c r="AM191" s="4">
        <v>3.6</v>
      </c>
      <c r="AN191" s="4">
        <v>3.86</v>
      </c>
      <c r="AO191" s="4">
        <v>4</v>
      </c>
      <c r="AP191" s="4">
        <v>3.92</v>
      </c>
      <c r="AQ191" s="4">
        <v>3.84</v>
      </c>
      <c r="AR191" s="4">
        <v>3.7</v>
      </c>
      <c r="AS191" s="4">
        <v>3.8</v>
      </c>
      <c r="AT191" s="4">
        <v>4.05</v>
      </c>
      <c r="AU191" s="4">
        <v>3.5750000000000002</v>
      </c>
      <c r="AV191" s="4">
        <v>4.08</v>
      </c>
      <c r="AW191" s="4">
        <v>3.95</v>
      </c>
      <c r="AX191" s="4">
        <v>3.84</v>
      </c>
      <c r="AY191" s="12">
        <v>4.22</v>
      </c>
      <c r="AZ191" s="12">
        <v>4.78</v>
      </c>
      <c r="BA191" s="12">
        <v>4.79</v>
      </c>
      <c r="BB191" s="18">
        <v>4.5599999999999996</v>
      </c>
      <c r="BC191" s="63">
        <v>4.4400000000000004</v>
      </c>
      <c r="BD191" s="63">
        <v>4.95</v>
      </c>
      <c r="BE191" s="63">
        <v>4.74</v>
      </c>
      <c r="BF191" s="63">
        <v>4.66</v>
      </c>
      <c r="BG191" s="91" cm="1">
        <f t="array" aca="1" ref="BG191" ca="1">_FV(EE191,"Preço")</f>
        <v>4.4000000000000004</v>
      </c>
      <c r="BH191" s="93" t="s">
        <v>188</v>
      </c>
      <c r="BI191" s="32" cm="1">
        <f t="array" aca="1" ref="BI191" ca="1">_FV(EE191,"Beta")</f>
        <v>1.5694999999999999</v>
      </c>
      <c r="BJ191" s="96" cm="1">
        <f t="array" aca="1" ref="BJ191" ca="1">_FV(EE191,"Variação (%)",TRUE)</f>
        <v>-1.566E-2</v>
      </c>
      <c r="BK191" s="49"/>
      <c r="BL191" s="49"/>
      <c r="BN191" s="32"/>
      <c r="BO191" s="20" cm="1">
        <f t="array" aca="1" ref="BO191" ca="1">_FV(EE191,"Baixo")</f>
        <v>4.3499999999999996</v>
      </c>
      <c r="BP191" s="20" cm="1">
        <f t="array" aca="1" ref="BP191" ca="1">_FV(EE191,"Alto")</f>
        <v>4.46</v>
      </c>
      <c r="BQ191" s="32"/>
      <c r="BR191" s="74" t="e">
        <f ca="1">SQRT(22.5*(BG191/VLOOKUP(BH191,Fundamentus!A:U,3,FALSE))*(BG191/VLOOKUP(BH191,Fundamentus!A:U,4,FALSE)))</f>
        <v>#NUM!</v>
      </c>
      <c r="BT191" s="73">
        <f t="shared" ca="1" si="158"/>
        <v>-5.5793991416308968E-2</v>
      </c>
      <c r="BU191" s="36">
        <f t="shared" si="159"/>
        <v>-0.18416523235800336</v>
      </c>
      <c r="BV191" s="8"/>
      <c r="BW191" s="72">
        <f t="shared" si="160"/>
        <v>3.51</v>
      </c>
      <c r="BX191" s="72">
        <f t="shared" si="161"/>
        <v>4.4075000000000006</v>
      </c>
      <c r="BY191" s="72">
        <f t="shared" si="162"/>
        <v>5.81</v>
      </c>
      <c r="BZ191" s="17"/>
      <c r="CA191" s="17"/>
      <c r="CB191" s="43">
        <f t="shared" si="163"/>
        <v>4.4543691890008699</v>
      </c>
      <c r="CC191" s="18">
        <f t="shared" si="164"/>
        <v>4.8194376757263058</v>
      </c>
      <c r="CD191" s="43">
        <f t="shared" si="165"/>
        <v>5.1845061624517417</v>
      </c>
      <c r="CE191" s="98">
        <f t="shared" ca="1" si="166"/>
        <v>-1.1489287379706372</v>
      </c>
      <c r="CF191" s="17"/>
      <c r="CG191" s="20">
        <f t="shared" si="167"/>
        <v>1.2100000000000009</v>
      </c>
      <c r="CH191" s="20">
        <f t="shared" si="168"/>
        <v>2.3600000000000003</v>
      </c>
      <c r="CI191" s="20">
        <f t="shared" si="169"/>
        <v>3.5100000000000007</v>
      </c>
      <c r="CJ191" s="49">
        <f t="shared" si="170"/>
        <v>4.66</v>
      </c>
      <c r="CK191" s="20">
        <f t="shared" si="171"/>
        <v>5.8100000000000005</v>
      </c>
      <c r="CL191" s="20">
        <f t="shared" si="172"/>
        <v>6.96</v>
      </c>
      <c r="CM191" s="20">
        <f t="shared" si="173"/>
        <v>8.11</v>
      </c>
      <c r="CN191" s="2" cm="1">
        <f t="array" aca="1" ref="CN191" ca="1">MAX(_xlfn._xlws.FILTER(CG191:CM191,CG191:CM191&lt;BG191))</f>
        <v>3.5100000000000007</v>
      </c>
      <c r="CO191" s="2" cm="1">
        <f t="array" aca="1" ref="CO191" ca="1">MIN(_xlfn._xlws.FILTER($CG191:$CM191,$CG191:$CM191&gt;BG191))</f>
        <v>4.66</v>
      </c>
      <c r="CP191" s="19">
        <f t="shared" ca="1" si="217"/>
        <v>0.32763532763532743</v>
      </c>
      <c r="CQ191" s="23">
        <f t="shared" ca="1" si="218"/>
        <v>-0.16381766381766372</v>
      </c>
      <c r="CR191" s="23">
        <f t="shared" ca="1" si="219"/>
        <v>-0.10921177587844248</v>
      </c>
      <c r="CS191" s="23">
        <f t="shared" ca="1" si="220"/>
        <v>-6.5527065527065484E-2</v>
      </c>
      <c r="CT191" s="23">
        <f t="shared" ca="1" si="221"/>
        <v>-3.6403925292814159E-2</v>
      </c>
      <c r="CU191" s="23">
        <f t="shared" ca="1" si="222"/>
        <v>-1.927266633148985E-2</v>
      </c>
      <c r="CV191" s="23">
        <f t="shared" ca="1" si="223"/>
        <v>-9.9283432616765893E-3</v>
      </c>
      <c r="CW191" s="23">
        <f t="shared" ca="1" si="224"/>
        <v>-5.0405435020819608E-3</v>
      </c>
      <c r="CX191" s="24">
        <f t="shared" ca="1" si="225"/>
        <v>5.0405435020819608E-3</v>
      </c>
      <c r="CY191" s="24">
        <f t="shared" ca="1" si="226"/>
        <v>9.9283432616765893E-3</v>
      </c>
      <c r="CZ191" s="24">
        <f t="shared" ca="1" si="227"/>
        <v>1.927266633148985E-2</v>
      </c>
      <c r="DA191" s="24">
        <f t="shared" ca="1" si="228"/>
        <v>3.6403925292814159E-2</v>
      </c>
      <c r="DB191" s="24">
        <f t="shared" ca="1" si="229"/>
        <v>6.5527065527065484E-2</v>
      </c>
      <c r="DC191" s="24">
        <f t="shared" ca="1" si="230"/>
        <v>0.10921177587844248</v>
      </c>
      <c r="DD191" s="24">
        <f t="shared" ca="1" si="231"/>
        <v>0.16381766381766372</v>
      </c>
      <c r="DF191" s="19" cm="1">
        <f t="array" aca="1" ref="DF191" ca="1">MAX(_xlfn._xlws.FILTER(CQ191:DD191,CQ191:DD191&lt;BJ191))</f>
        <v>-1.927266633148985E-2</v>
      </c>
      <c r="DG191" s="19" cm="1">
        <f t="array" aca="1" ref="DG191" ca="1">MIN(_xlfn._xlws.FILTER(CQ191:DD191,CQ191:DD191&gt;BJ191))</f>
        <v>-9.9283432616765893E-3</v>
      </c>
      <c r="DH191" s="2" cm="1">
        <f t="array" aca="1" ref="DH191" ca="1">_FV(EE191,"Fechamento anterior",TRUE)</f>
        <v>4.47</v>
      </c>
      <c r="DI191" s="36">
        <f t="shared" ca="1" si="174"/>
        <v>0.38662095126934154</v>
      </c>
      <c r="DJ191" s="18">
        <f t="shared" ca="1" si="232"/>
        <v>4.3838511814982404</v>
      </c>
      <c r="DK191" s="18">
        <f t="shared" ca="1" si="233"/>
        <v>4.4256203056203054</v>
      </c>
      <c r="DL191" s="9"/>
      <c r="DM191" s="9"/>
      <c r="DN191" s="9"/>
      <c r="DO191" s="9"/>
      <c r="DP191" s="79">
        <v>9.373455799571058E-3</v>
      </c>
      <c r="DQ191" s="79">
        <v>5.5159182205168156E-3</v>
      </c>
      <c r="DR191" s="79">
        <v>9.373455799571058E-3</v>
      </c>
      <c r="DS191" s="79">
        <f t="shared" ca="1" si="175"/>
        <v>9.3443230698132609E-3</v>
      </c>
      <c r="DT191" s="47"/>
      <c r="DU191" s="43">
        <f t="shared" si="176"/>
        <v>0.18253424336271803</v>
      </c>
      <c r="DV191" s="83">
        <f t="shared" ca="1" si="177"/>
        <v>1.9955999999999998</v>
      </c>
      <c r="DW191" s="83">
        <f t="shared" ca="1" si="178"/>
        <v>3.1355</v>
      </c>
      <c r="DX191" s="83">
        <f t="shared" ca="1" si="234"/>
        <v>-1.1399000000000001</v>
      </c>
      <c r="DY191" s="67"/>
      <c r="DZ191" s="67"/>
      <c r="EA191" s="85"/>
      <c r="EB191" s="44">
        <v>220600</v>
      </c>
      <c r="EC191" s="44" cm="1">
        <f t="array" aca="1" ref="EC191" ca="1">_FV(EE191,"Volume")</f>
        <v>450000</v>
      </c>
      <c r="EE191" s="2" t="e" vm="193">
        <v>#VALUE!</v>
      </c>
      <c r="EG191" s="10" cm="1">
        <f t="array" aca="1" ref="EG191" ca="1">_FV(EE191,"Ações em circulação",TRUE)</f>
        <v>339428000</v>
      </c>
      <c r="EH191" s="21">
        <f>VLOOKUP(BH191,Fundamentus!A:U,5,FALSE)</f>
        <v>0.72399999999999998</v>
      </c>
      <c r="EI191" s="2">
        <f t="shared" ca="1" si="180"/>
        <v>2062822099.4475143</v>
      </c>
      <c r="EJ191" s="20">
        <v>-356545672.83977902</v>
      </c>
      <c r="EK191" s="20">
        <f t="shared" ca="1" si="181"/>
        <v>-336652566.62983435</v>
      </c>
      <c r="EM191" s="40" t="str">
        <f>IF(VLOOKUP(BH191,Fundamentus!A:U,3,FALSE)&lt;15,"Bom",IF(VLOOKUP(BH191,Fundamentus!A:U,3,FALSE)&gt;15,"Ruim","n/a"))</f>
        <v>Bom</v>
      </c>
      <c r="EN191" s="36" t="str">
        <f>IF(VLOOKUP(BH191,Fundamentus!A:U,4,FALSE)&lt;1,"Baixo",IF(VLOOKUP(BH191,Fundamentus!A:U,4,FALSE)&lt;1.5,"Moderado",IF(VLOOKUP(BH191,Fundamentus!A:U,4,FALSE)&gt;1.5,"Alto","n/a")))</f>
        <v>Moderado</v>
      </c>
      <c r="EO191" s="20" t="str">
        <f>IF(VLOOKUP(BH191,Fundamentus!A:U,8,FALSE)&lt;0,"Risco elevado",IF(VLOOKUP(BH191,Fundamentus!A:U,8,FALSE)&lt;1,"Saudável",IF(VLOOKUP(BH191,Fundamentus!A:U,8,FALSE)&lt;3,"Estável",IF(VLOOKUP(BH191,Fundamentus!A:U,8,FALSE)&gt;3,"Alerta","n/a"))))</f>
        <v>Estável</v>
      </c>
      <c r="EP191" s="36" t="str">
        <f t="shared" si="182"/>
        <v>Ruim</v>
      </c>
      <c r="EQ191" s="20" t="str">
        <f>IF(VLOOKUP(BH191,Fundamentus!A:U,12,FALSE)&lt;2,"Subvalorizada",IF(VLOOKUP(BH191,Fundamentus!A:U,12,FALSE)&lt;6,"Muita barata",IF(VLOOKUP(BH191,Fundamentus!A:U,12,FALSE)&lt;6,"Barata",IF(VLOOKUP(BH191,Fundamentus!A:U,12,FALSE)&lt;8,"Atrativa",IF(VLOOKUP(BH191,Fundamentus!A:U,12,FALSE)&gt;8,"Supervalorizada","n/a")))))</f>
        <v>Muita barata</v>
      </c>
      <c r="ES191" s="20" t="str">
        <f>IF(VLOOKUP(BH191,Fundamentus!A:U,17,FALSE)&lt;0.1,"Fraco retorno",IF(VLOOKUP(BH191,Fundamentus!A:U,17,FALSE)&gt;0.1,"Bom retorno","n/a"))</f>
        <v>Fraco retorno</v>
      </c>
      <c r="ET191" s="20" t="str">
        <f>IF(VLOOKUP(BH191,Fundamentus!A:U,16,FALSE)&lt;0.1,"Ineficiente",IF(VLOOKUP(BH191,Fundamentus!A:U,16,FALSE)&gt;0.1,"Eficiente","n/a"))</f>
        <v>Ineficiente</v>
      </c>
      <c r="EU191" s="41" t="str">
        <f>IF(VLOOKUP(BH191,Fundamentus!A:U,16,FALSE)&lt;0.1,"Oper. Ineficiente",IF(VLOOKUP(BH191,Fundamentus!A:U,16,FALSE)&gt;0.1,"Oper.Eficiente","n/a"))</f>
        <v>Oper. Ineficiente</v>
      </c>
      <c r="EV191" s="42">
        <f>VLOOKUP(BH191,Fundamentus!A:U,14,FALSE)</f>
        <v>-0.16320000000000001</v>
      </c>
      <c r="EW191" s="20" t="str">
        <f>IF(VLOOKUP(BH191,Fundamentus!A:U,21,FALSE)&lt;0,"Negativo",IF(VLOOKUP(BH191,Fundamentus!A:U,21,FALSE)&lt;0.05,"Fraco",IF(VLOOKUP(BH191,Fundamentus!A:U,21,FALSE)&lt;0.1,"Bom",IF(VLOOKUP(BH191,Fundamentus!A:U,21,FALSE)&gt;0.1,"Muito bom","n/a"))))</f>
        <v>Muito bom</v>
      </c>
      <c r="EY191" s="37" t="str">
        <f>IF(VLOOKUP(BH191,Fundamentus!A:U,15,FALSE)&gt;1,"Bom",IF(VLOOKUP(BH191,Fundamentus!A:U,15,FALSE)&lt;1,"Ruim","n/a"))</f>
        <v>Bom</v>
      </c>
      <c r="EZ191" s="20" t="str">
        <f>IF(VLOOKUP(BH191,Fundamentus!A:U,20,FALSE)&lt;0.5,"Baixa",IF(VLOOKUP(BH191,Fundamentus!A:U,20,FALSE)&lt;1,"Moderada",IF(VLOOKUP(BH191,Fundamentus!A:U,20,FALSE)&lt;2,"Alerta",IF(VLOOKUP(BH191,Fundamentus!A:U,20,FALSE)&gt;2,"Alta","n/a"))))</f>
        <v>Moderada</v>
      </c>
      <c r="FA191" s="10"/>
    </row>
    <row r="192" spans="1:157" s="2" customFormat="1" ht="11.25" hidden="1" x14ac:dyDescent="0.2">
      <c r="A192" s="4">
        <v>0.82</v>
      </c>
      <c r="B192" s="4">
        <v>0.76</v>
      </c>
      <c r="C192" s="4">
        <v>0.75</v>
      </c>
      <c r="D192" s="4">
        <v>0.7</v>
      </c>
      <c r="E192" s="4">
        <v>0.66</v>
      </c>
      <c r="F192" s="4">
        <v>0.61</v>
      </c>
      <c r="G192" s="4">
        <v>0.66</v>
      </c>
      <c r="H192" s="4">
        <v>0.61</v>
      </c>
      <c r="I192" s="4">
        <v>0.53</v>
      </c>
      <c r="J192" s="4">
        <v>0.56000000000000005</v>
      </c>
      <c r="K192" s="4">
        <v>0.59</v>
      </c>
      <c r="L192" s="4">
        <v>0.52</v>
      </c>
      <c r="M192" s="4">
        <v>3.82</v>
      </c>
      <c r="N192" s="4">
        <v>3.56</v>
      </c>
      <c r="O192" s="4">
        <v>3.69</v>
      </c>
      <c r="P192" s="4">
        <v>4.5</v>
      </c>
      <c r="Q192" s="4">
        <v>3.55</v>
      </c>
      <c r="R192" s="4">
        <v>3.11</v>
      </c>
      <c r="S192" s="4">
        <v>2.7</v>
      </c>
      <c r="T192" s="4">
        <v>3.85</v>
      </c>
      <c r="U192" s="4">
        <v>4.3</v>
      </c>
      <c r="V192" s="4">
        <v>4.9000000000000004</v>
      </c>
      <c r="W192" s="4">
        <v>4.9000000000000004</v>
      </c>
      <c r="X192" s="4">
        <v>6.42</v>
      </c>
      <c r="Y192" s="4">
        <v>6.07</v>
      </c>
      <c r="Z192" s="4">
        <v>5.63</v>
      </c>
      <c r="AA192" s="4">
        <v>5.14</v>
      </c>
      <c r="AB192" s="4">
        <v>7.48</v>
      </c>
      <c r="AC192" s="4">
        <v>8.09</v>
      </c>
      <c r="AD192" s="4">
        <v>7.42</v>
      </c>
      <c r="AE192" s="4">
        <v>5.8</v>
      </c>
      <c r="AF192" s="4">
        <v>6.75</v>
      </c>
      <c r="AG192" s="4">
        <v>7.08</v>
      </c>
      <c r="AH192" s="4">
        <v>5.95</v>
      </c>
      <c r="AI192" s="4">
        <v>6.99</v>
      </c>
      <c r="AJ192" s="4">
        <v>6.95</v>
      </c>
      <c r="AK192" s="4">
        <v>6.58</v>
      </c>
      <c r="AL192" s="4">
        <v>6.17</v>
      </c>
      <c r="AM192" s="4">
        <v>6.11</v>
      </c>
      <c r="AN192" s="4">
        <v>6.14</v>
      </c>
      <c r="AO192" s="4">
        <v>5.05</v>
      </c>
      <c r="AP192" s="4">
        <v>5.0999999999999996</v>
      </c>
      <c r="AQ192" s="4">
        <v>5.22</v>
      </c>
      <c r="AR192" s="4">
        <v>5.2</v>
      </c>
      <c r="AS192" s="4">
        <v>5.13</v>
      </c>
      <c r="AT192" s="4">
        <v>5.46</v>
      </c>
      <c r="AU192" s="4">
        <v>5.6550000000000002</v>
      </c>
      <c r="AV192" s="4">
        <v>6.45</v>
      </c>
      <c r="AW192" s="4">
        <v>7.5</v>
      </c>
      <c r="AX192" s="4">
        <v>7.29</v>
      </c>
      <c r="AY192" s="12">
        <v>7</v>
      </c>
      <c r="AZ192" s="12">
        <v>6.6</v>
      </c>
      <c r="BA192" s="12">
        <v>6.63</v>
      </c>
      <c r="BB192" s="18">
        <v>7</v>
      </c>
      <c r="BC192" s="63">
        <v>6.97</v>
      </c>
      <c r="BD192" s="63">
        <v>7.89</v>
      </c>
      <c r="BE192" s="63">
        <v>9</v>
      </c>
      <c r="BF192" s="63">
        <v>8.19</v>
      </c>
      <c r="BG192" s="91" cm="1">
        <f t="array" aca="1" ref="BG192" ca="1">_FV(EE192,"Preço")</f>
        <v>7.2</v>
      </c>
      <c r="BH192" s="93" t="s">
        <v>189</v>
      </c>
      <c r="BI192" s="32" cm="1">
        <f t="array" aca="1" ref="BI192" ca="1">_FV(EE192,"Beta")</f>
        <v>0.5796</v>
      </c>
      <c r="BJ192" s="96" cm="1">
        <f t="array" aca="1" ref="BJ192" ca="1">_FV(EE192,"Variação (%)",TRUE)</f>
        <v>-3.6145000000000004E-2</v>
      </c>
      <c r="BK192" s="49"/>
      <c r="BL192" s="49"/>
      <c r="BN192" s="32"/>
      <c r="BO192" s="20" cm="1">
        <f t="array" aca="1" ref="BO192" ca="1">_FV(EE192,"Baixo")</f>
        <v>7.08</v>
      </c>
      <c r="BP192" s="20" cm="1">
        <f t="array" aca="1" ref="BP192" ca="1">_FV(EE192,"Alto")</f>
        <v>7.59</v>
      </c>
      <c r="BQ192" s="32"/>
      <c r="BR192" s="74" t="e">
        <f ca="1">SQRT(22.5*(BG192/VLOOKUP(BH192,Fundamentus!A:U,3,FALSE))*(BG192/VLOOKUP(BH192,Fundamentus!A:U,4,FALSE)))</f>
        <v>#NUM!</v>
      </c>
      <c r="BT192" s="73">
        <f t="shared" ca="1" si="158"/>
        <v>-0.12087912087912081</v>
      </c>
      <c r="BU192" s="36">
        <f t="shared" si="159"/>
        <v>9.9756097560975618</v>
      </c>
      <c r="BV192" s="8"/>
      <c r="BW192" s="72">
        <f t="shared" si="160"/>
        <v>0.52</v>
      </c>
      <c r="BX192" s="72">
        <f t="shared" si="161"/>
        <v>4.8061206896551711</v>
      </c>
      <c r="BY192" s="72">
        <f t="shared" si="162"/>
        <v>9</v>
      </c>
      <c r="BZ192" s="17"/>
      <c r="CA192" s="17"/>
      <c r="CB192" s="43">
        <f t="shared" si="163"/>
        <v>7.7407246220511192</v>
      </c>
      <c r="CC192" s="18">
        <f t="shared" si="164"/>
        <v>9.1927835051546936</v>
      </c>
      <c r="CD192" s="43">
        <f t="shared" si="165"/>
        <v>10.644842388258269</v>
      </c>
      <c r="CE192" s="98">
        <f t="shared" ca="1" si="166"/>
        <v>-1.3723847760880021</v>
      </c>
      <c r="CF192" s="17"/>
      <c r="CG192" s="20">
        <f t="shared" si="167"/>
        <v>-5.6733333333333338</v>
      </c>
      <c r="CH192" s="20">
        <f t="shared" si="168"/>
        <v>-2.5766666666666671</v>
      </c>
      <c r="CI192" s="20">
        <f t="shared" si="169"/>
        <v>2.8066666666666666</v>
      </c>
      <c r="CJ192" s="49">
        <f t="shared" si="170"/>
        <v>5.9033333333333333</v>
      </c>
      <c r="CK192" s="20">
        <f t="shared" si="171"/>
        <v>11.286666666666667</v>
      </c>
      <c r="CL192" s="20">
        <f t="shared" si="172"/>
        <v>14.383333333333333</v>
      </c>
      <c r="CM192" s="20">
        <f t="shared" si="173"/>
        <v>19.766666666666666</v>
      </c>
      <c r="CN192" s="2" cm="1">
        <f t="array" aca="1" ref="CN192" ca="1">MAX(_xlfn._xlws.FILTER(CG192:CM192,CG192:CM192&lt;BG192))</f>
        <v>5.9033333333333333</v>
      </c>
      <c r="CO192" s="2" cm="1">
        <f t="array" aca="1" ref="CO192" ca="1">MIN(_xlfn._xlws.FILTER($CG192:$CM192,$CG192:$CM192&gt;BG192))</f>
        <v>11.286666666666667</v>
      </c>
      <c r="CP192" s="19">
        <f t="shared" ca="1" si="217"/>
        <v>0.9119141727837381</v>
      </c>
      <c r="CQ192" s="23">
        <f t="shared" ca="1" si="218"/>
        <v>-0.45595708639186905</v>
      </c>
      <c r="CR192" s="23">
        <f t="shared" ca="1" si="219"/>
        <v>-0.3039713909279127</v>
      </c>
      <c r="CS192" s="23">
        <f t="shared" ca="1" si="220"/>
        <v>-0.18238283455674761</v>
      </c>
      <c r="CT192" s="23">
        <f t="shared" ca="1" si="221"/>
        <v>-0.1013237969759709</v>
      </c>
      <c r="CU192" s="23">
        <f t="shared" ca="1" si="222"/>
        <v>-5.3642010163749303E-2</v>
      </c>
      <c r="CV192" s="23">
        <f t="shared" ca="1" si="223"/>
        <v>-2.7633762811628427E-2</v>
      </c>
      <c r="CW192" s="23">
        <f t="shared" ca="1" si="224"/>
        <v>-1.402944881205751E-2</v>
      </c>
      <c r="CX192" s="24">
        <f t="shared" ca="1" si="225"/>
        <v>1.402944881205751E-2</v>
      </c>
      <c r="CY192" s="24">
        <f t="shared" ca="1" si="226"/>
        <v>2.7633762811628427E-2</v>
      </c>
      <c r="CZ192" s="24">
        <f t="shared" ca="1" si="227"/>
        <v>5.3642010163749303E-2</v>
      </c>
      <c r="DA192" s="24">
        <f t="shared" ca="1" si="228"/>
        <v>0.1013237969759709</v>
      </c>
      <c r="DB192" s="24">
        <f t="shared" ca="1" si="229"/>
        <v>0.18238283455674761</v>
      </c>
      <c r="DC192" s="24">
        <f t="shared" ca="1" si="230"/>
        <v>0.3039713909279127</v>
      </c>
      <c r="DD192" s="24">
        <f t="shared" ca="1" si="231"/>
        <v>0.45595708639186905</v>
      </c>
      <c r="DF192" s="19" cm="1">
        <f t="array" aca="1" ref="DF192" ca="1">MAX(_xlfn._xlws.FILTER(CQ192:DD192,CQ192:DD192&lt;BJ192))</f>
        <v>-5.3642010163749303E-2</v>
      </c>
      <c r="DG192" s="19" cm="1">
        <f t="array" aca="1" ref="DG192" ca="1">MIN(_xlfn._xlws.FILTER(CQ192:DD192,CQ192:DD192&gt;BJ192))</f>
        <v>-2.7633762811628427E-2</v>
      </c>
      <c r="DH192" s="2" cm="1">
        <f t="array" aca="1" ref="DH192" ca="1">_FV(EE192,"Fechamento anterior",TRUE)</f>
        <v>7.47</v>
      </c>
      <c r="DI192" s="36">
        <f t="shared" ca="1" si="174"/>
        <v>0.67276474318326096</v>
      </c>
      <c r="DJ192" s="18">
        <f t="shared" ca="1" si="232"/>
        <v>7.0692941840767922</v>
      </c>
      <c r="DK192" s="18">
        <f t="shared" ca="1" si="233"/>
        <v>7.2635757917971358</v>
      </c>
      <c r="DL192" s="9"/>
      <c r="DM192" s="9"/>
      <c r="DN192" s="9"/>
      <c r="DO192" s="9"/>
      <c r="DP192" s="79">
        <v>2.4464983050498181E-2</v>
      </c>
      <c r="DQ192" s="79">
        <v>2.6810428065658198E-2</v>
      </c>
      <c r="DR192" s="79">
        <v>2.6810428065658198E-2</v>
      </c>
      <c r="DS192" s="79">
        <f t="shared" ca="1" si="175"/>
        <v>2.6008247352120876E-2</v>
      </c>
      <c r="DT192" s="47"/>
      <c r="DU192" s="43">
        <f t="shared" si="176"/>
        <v>0.72602944155178728</v>
      </c>
      <c r="DV192" s="83">
        <f t="shared" ca="1" si="177"/>
        <v>1.0057</v>
      </c>
      <c r="DW192" s="83">
        <f t="shared" ca="1" si="178"/>
        <v>4.1941000000000006</v>
      </c>
      <c r="DX192" s="83">
        <f t="shared" ca="1" si="234"/>
        <v>-3.1884000000000006</v>
      </c>
      <c r="DY192" s="67"/>
      <c r="DZ192" s="67"/>
      <c r="EA192" s="85"/>
      <c r="EB192" s="44">
        <v>26500</v>
      </c>
      <c r="EC192" s="44" cm="1">
        <f t="array" aca="1" ref="EC192" ca="1">_FV(EE192,"Volume")</f>
        <v>29600</v>
      </c>
      <c r="EE192" s="2" t="e" vm="194">
        <v>#VALUE!</v>
      </c>
      <c r="EG192" s="10" cm="1">
        <f t="array" aca="1" ref="EG192" ca="1">_FV(EE192,"Ações em circulação",TRUE)</f>
        <v>40021020</v>
      </c>
      <c r="EH192" s="21">
        <f>VLOOKUP(BH192,Fundamentus!A:U,5,FALSE)</f>
        <v>7.8579999999999997</v>
      </c>
      <c r="EI192" s="2">
        <f t="shared" ca="1" si="180"/>
        <v>36669807.075591758</v>
      </c>
      <c r="EJ192" s="20">
        <v>-86256049.483713388</v>
      </c>
      <c r="EK192" s="20">
        <f t="shared" ca="1" si="181"/>
        <v>-75829494.051616192</v>
      </c>
      <c r="EM192" s="40" t="str">
        <f>IF(VLOOKUP(BH192,Fundamentus!A:U,3,FALSE)&lt;15,"Bom",IF(VLOOKUP(BH192,Fundamentus!A:U,3,FALSE)&gt;15,"Ruim","n/a"))</f>
        <v>Bom</v>
      </c>
      <c r="EN192" s="36" t="str">
        <f>IF(VLOOKUP(BH192,Fundamentus!A:U,4,FALSE)&lt;1,"Baixo",IF(VLOOKUP(BH192,Fundamentus!A:U,4,FALSE)&lt;1.5,"Moderado",IF(VLOOKUP(BH192,Fundamentus!A:U,4,FALSE)&gt;1.5,"Alto","n/a")))</f>
        <v>Alto</v>
      </c>
      <c r="EO192" s="20" t="str">
        <f>IF(VLOOKUP(BH192,Fundamentus!A:U,8,FALSE)&lt;0,"Risco elevado",IF(VLOOKUP(BH192,Fundamentus!A:U,8,FALSE)&lt;1,"Saudável",IF(VLOOKUP(BH192,Fundamentus!A:U,8,FALSE)&lt;3,"Estável",IF(VLOOKUP(BH192,Fundamentus!A:U,8,FALSE)&gt;3,"Alerta","n/a"))))</f>
        <v>Alerta</v>
      </c>
      <c r="EP192" s="36" t="str">
        <f t="shared" si="182"/>
        <v>Bom</v>
      </c>
      <c r="EQ192" s="20" t="str">
        <f>IF(VLOOKUP(BH192,Fundamentus!A:U,12,FALSE)&lt;2,"Subvalorizada",IF(VLOOKUP(BH192,Fundamentus!A:U,12,FALSE)&lt;6,"Muita barata",IF(VLOOKUP(BH192,Fundamentus!A:U,12,FALSE)&lt;6,"Barata",IF(VLOOKUP(BH192,Fundamentus!A:U,12,FALSE)&lt;8,"Atrativa",IF(VLOOKUP(BH192,Fundamentus!A:U,12,FALSE)&gt;8,"Supervalorizada","n/a")))))</f>
        <v>Subvalorizada</v>
      </c>
      <c r="ES192" s="20" t="str">
        <f>IF(VLOOKUP(BH192,Fundamentus!A:U,17,FALSE)&lt;0.1,"Fraco retorno",IF(VLOOKUP(BH192,Fundamentus!A:U,17,FALSE)&gt;0.1,"Bom retorno","n/a"))</f>
        <v>Fraco retorno</v>
      </c>
      <c r="ET192" s="20" t="str">
        <f>IF(VLOOKUP(BH192,Fundamentus!A:U,16,FALSE)&lt;0.1,"Ineficiente",IF(VLOOKUP(BH192,Fundamentus!A:U,16,FALSE)&gt;0.1,"Eficiente","n/a"))</f>
        <v>Ineficiente</v>
      </c>
      <c r="EU192" s="41" t="str">
        <f>IF(VLOOKUP(BH192,Fundamentus!A:U,16,FALSE)&lt;0.1,"Oper. Ineficiente",IF(VLOOKUP(BH192,Fundamentus!A:U,16,FALSE)&gt;0.1,"Oper.Eficiente","n/a"))</f>
        <v>Oper. Ineficiente</v>
      </c>
      <c r="EV192" s="42">
        <f>VLOOKUP(BH192,Fundamentus!A:U,14,FALSE)</f>
        <v>-2.0678999999999998</v>
      </c>
      <c r="EW192" s="20" t="str">
        <f>IF(VLOOKUP(BH192,Fundamentus!A:U,21,FALSE)&lt;0,"Negativo",IF(VLOOKUP(BH192,Fundamentus!A:U,21,FALSE)&lt;0.05,"Fraco",IF(VLOOKUP(BH192,Fundamentus!A:U,21,FALSE)&lt;0.1,"Bom",IF(VLOOKUP(BH192,Fundamentus!A:U,21,FALSE)&gt;0.1,"Muito bom","n/a"))))</f>
        <v>Negativo</v>
      </c>
      <c r="EY192" s="37" t="str">
        <f>IF(VLOOKUP(BH192,Fundamentus!A:U,15,FALSE)&gt;1,"Bom",IF(VLOOKUP(BH192,Fundamentus!A:U,15,FALSE)&lt;1,"Ruim","n/a"))</f>
        <v>Bom</v>
      </c>
      <c r="EZ192" s="20" t="str">
        <f>IF(VLOOKUP(BH192,Fundamentus!A:U,20,FALSE)&lt;0.5,"Baixa",IF(VLOOKUP(BH192,Fundamentus!A:U,20,FALSE)&lt;1,"Moderada",IF(VLOOKUP(BH192,Fundamentus!A:U,20,FALSE)&lt;2,"Alerta",IF(VLOOKUP(BH192,Fundamentus!A:U,20,FALSE)&gt;2,"Alta","n/a"))))</f>
        <v>Baixa</v>
      </c>
      <c r="FA192" s="10"/>
    </row>
    <row r="193" spans="1:157" s="2" customFormat="1" ht="11.25" hidden="1" x14ac:dyDescent="0.2">
      <c r="A193" s="4">
        <v>16.37</v>
      </c>
      <c r="B193" s="4">
        <v>15.73</v>
      </c>
      <c r="C193" s="4">
        <v>15.65</v>
      </c>
      <c r="D193" s="4">
        <v>15.3</v>
      </c>
      <c r="E193" s="4">
        <v>14.78</v>
      </c>
      <c r="F193" s="4">
        <v>14.9</v>
      </c>
      <c r="G193" s="4">
        <v>14.6</v>
      </c>
      <c r="H193" s="4">
        <v>14.46</v>
      </c>
      <c r="I193" s="4">
        <v>14.6</v>
      </c>
      <c r="J193" s="4">
        <v>15.03</v>
      </c>
      <c r="K193" s="4">
        <v>15.53</v>
      </c>
      <c r="L193" s="4">
        <v>15.62</v>
      </c>
      <c r="M193" s="4">
        <v>15.56</v>
      </c>
      <c r="N193" s="4">
        <v>15.78</v>
      </c>
      <c r="O193" s="4">
        <v>17.98</v>
      </c>
      <c r="P193" s="4">
        <v>17.75</v>
      </c>
      <c r="Q193" s="4">
        <v>17.73</v>
      </c>
      <c r="R193" s="4">
        <v>17.670000000000002</v>
      </c>
      <c r="S193" s="4">
        <v>18.32</v>
      </c>
      <c r="T193" s="4">
        <v>17.88</v>
      </c>
      <c r="U193" s="4">
        <v>16.8</v>
      </c>
      <c r="V193" s="4">
        <v>16.98</v>
      </c>
      <c r="W193" s="4">
        <v>16.93</v>
      </c>
      <c r="X193" s="4">
        <v>16.350000000000001</v>
      </c>
      <c r="Y193" s="4">
        <v>16.260000000000002</v>
      </c>
      <c r="Z193" s="4">
        <v>16.23</v>
      </c>
      <c r="AA193" s="4">
        <v>16.34</v>
      </c>
      <c r="AB193" s="4">
        <v>16.3</v>
      </c>
      <c r="AC193" s="4">
        <v>16.100000000000001</v>
      </c>
      <c r="AD193" s="4">
        <v>16.14</v>
      </c>
      <c r="AE193" s="4">
        <v>16.350000000000001</v>
      </c>
      <c r="AF193" s="4">
        <v>16.190000000000001</v>
      </c>
      <c r="AG193" s="4">
        <v>15.97</v>
      </c>
      <c r="AH193" s="4">
        <v>15.74</v>
      </c>
      <c r="AI193" s="4">
        <v>15.81</v>
      </c>
      <c r="AJ193" s="4">
        <v>15</v>
      </c>
      <c r="AK193" s="4">
        <v>15.79</v>
      </c>
      <c r="AL193" s="4">
        <v>16.510000000000002</v>
      </c>
      <c r="AM193" s="4">
        <v>16.79</v>
      </c>
      <c r="AN193" s="4">
        <v>17.010000000000002</v>
      </c>
      <c r="AO193" s="4">
        <v>16.649999999999999</v>
      </c>
      <c r="AP193" s="4">
        <v>17.03</v>
      </c>
      <c r="AQ193" s="4">
        <v>16.68</v>
      </c>
      <c r="AR193" s="4">
        <v>15.79</v>
      </c>
      <c r="AS193" s="4">
        <v>16.760000000000002</v>
      </c>
      <c r="AT193" s="4">
        <v>16</v>
      </c>
      <c r="AU193" s="4">
        <v>16.085000000000001</v>
      </c>
      <c r="AV193" s="4">
        <v>16.23</v>
      </c>
      <c r="AW193" s="4">
        <v>15.21</v>
      </c>
      <c r="AX193" s="4">
        <v>15.38</v>
      </c>
      <c r="AY193" s="12">
        <v>16.649999999999999</v>
      </c>
      <c r="AZ193" s="12">
        <v>17.100000000000001</v>
      </c>
      <c r="BA193" s="12">
        <v>16.8</v>
      </c>
      <c r="BB193" s="18">
        <v>20.3</v>
      </c>
      <c r="BC193" s="63">
        <v>21.38</v>
      </c>
      <c r="BD193" s="63">
        <v>20.32</v>
      </c>
      <c r="BE193" s="63">
        <v>20.3</v>
      </c>
      <c r="BF193" s="63">
        <v>19.61</v>
      </c>
      <c r="BG193" s="91" cm="1">
        <f t="array" aca="1" ref="BG193" ca="1">_FV(EE193,"Preço")</f>
        <v>19.5</v>
      </c>
      <c r="BH193" s="93" t="s">
        <v>190</v>
      </c>
      <c r="BI193" s="32" cm="1">
        <f t="array" aca="1" ref="BI193" ca="1">_FV(EE193,"Beta")</f>
        <v>0.83260000000000001</v>
      </c>
      <c r="BJ193" s="96" cm="1">
        <f t="array" aca="1" ref="BJ193" ca="1">_FV(EE193,"Variação (%)",TRUE)</f>
        <v>-1.0152000000000001E-2</v>
      </c>
      <c r="BK193" s="49"/>
      <c r="BL193" s="49"/>
      <c r="BN193" s="32"/>
      <c r="BO193" s="20" cm="1">
        <f t="array" aca="1" ref="BO193" ca="1">_FV(EE193,"Baixo")</f>
        <v>19.260000000000002</v>
      </c>
      <c r="BP193" s="20" cm="1">
        <f t="array" aca="1" ref="BP193" ca="1">_FV(EE193,"Alto")</f>
        <v>19.690000000000001</v>
      </c>
      <c r="BQ193" s="32"/>
      <c r="BR193" s="74">
        <f ca="1">SQRT(22.5*(BG193/VLOOKUP(BH193,Fundamentus!A:U,3,FALSE))*(BG193/VLOOKUP(BH193,Fundamentus!A:U,4,FALSE)))</f>
        <v>19.159680934033737</v>
      </c>
      <c r="BT193" s="73">
        <f t="shared" ca="1" si="158"/>
        <v>-5.6093829678735049E-3</v>
      </c>
      <c r="BU193" s="36">
        <f t="shared" si="159"/>
        <v>0.240073304825901</v>
      </c>
      <c r="BV193" s="8"/>
      <c r="BW193" s="72">
        <f t="shared" si="160"/>
        <v>14.46</v>
      </c>
      <c r="BX193" s="72">
        <f t="shared" si="161"/>
        <v>16.570775862068963</v>
      </c>
      <c r="BY193" s="72">
        <f t="shared" si="162"/>
        <v>21.38</v>
      </c>
      <c r="BZ193" s="17"/>
      <c r="CA193" s="17"/>
      <c r="CB193" s="43">
        <f t="shared" si="163"/>
        <v>17.830863071599811</v>
      </c>
      <c r="CC193" s="18">
        <f t="shared" si="164"/>
        <v>19.096119962511693</v>
      </c>
      <c r="CD193" s="43">
        <f t="shared" si="165"/>
        <v>20.361376853423575</v>
      </c>
      <c r="CE193" s="98">
        <f t="shared" ca="1" si="166"/>
        <v>0.31920793349501281</v>
      </c>
      <c r="CF193" s="17"/>
      <c r="CG193" s="20">
        <f t="shared" si="167"/>
        <v>8.6666666666666714</v>
      </c>
      <c r="CH193" s="20">
        <f t="shared" si="168"/>
        <v>11.563333333333336</v>
      </c>
      <c r="CI193" s="20">
        <f t="shared" si="169"/>
        <v>15.58666666666667</v>
      </c>
      <c r="CJ193" s="49">
        <f t="shared" si="170"/>
        <v>18.483333333333334</v>
      </c>
      <c r="CK193" s="20">
        <f t="shared" si="171"/>
        <v>22.506666666666668</v>
      </c>
      <c r="CL193" s="20">
        <f t="shared" si="172"/>
        <v>25.403333333333332</v>
      </c>
      <c r="CM193" s="20">
        <f t="shared" si="173"/>
        <v>29.426666666666666</v>
      </c>
      <c r="CN193" s="2" cm="1">
        <f t="array" aca="1" ref="CN193" ca="1">MAX(_xlfn._xlws.FILTER(CG193:CM193,CG193:CM193&lt;BG193))</f>
        <v>18.483333333333334</v>
      </c>
      <c r="CO193" s="2" cm="1">
        <f t="array" aca="1" ref="CO193" ca="1">MIN(_xlfn._xlws.FILTER($CG193:$CM193,$CG193:$CM193&gt;BG193))</f>
        <v>22.506666666666668</v>
      </c>
      <c r="CP193" s="19">
        <f t="shared" ca="1" si="217"/>
        <v>0.21767357980162316</v>
      </c>
      <c r="CQ193" s="23">
        <f t="shared" ca="1" si="218"/>
        <v>-0.10883678990081158</v>
      </c>
      <c r="CR193" s="23">
        <f t="shared" ca="1" si="219"/>
        <v>-7.2557859933874383E-2</v>
      </c>
      <c r="CS193" s="23">
        <f t="shared" ca="1" si="220"/>
        <v>-4.3534715960324634E-2</v>
      </c>
      <c r="CT193" s="23">
        <f t="shared" ca="1" si="221"/>
        <v>-2.4185953311291461E-2</v>
      </c>
      <c r="CU193" s="23">
        <f t="shared" ca="1" si="222"/>
        <v>-1.2804328223624891E-2</v>
      </c>
      <c r="CV193" s="23">
        <f t="shared" ca="1" si="223"/>
        <v>-6.5961690848976712E-3</v>
      </c>
      <c r="CW193" s="23">
        <f t="shared" ca="1" si="224"/>
        <v>-3.3488243046403562E-3</v>
      </c>
      <c r="CX193" s="24">
        <f t="shared" ca="1" si="225"/>
        <v>3.3488243046403562E-3</v>
      </c>
      <c r="CY193" s="24">
        <f t="shared" ca="1" si="226"/>
        <v>6.5961690848976712E-3</v>
      </c>
      <c r="CZ193" s="24">
        <f t="shared" ca="1" si="227"/>
        <v>1.2804328223624891E-2</v>
      </c>
      <c r="DA193" s="24">
        <f t="shared" ca="1" si="228"/>
        <v>2.4185953311291461E-2</v>
      </c>
      <c r="DB193" s="24">
        <f t="shared" ca="1" si="229"/>
        <v>4.3534715960324634E-2</v>
      </c>
      <c r="DC193" s="24">
        <f t="shared" ca="1" si="230"/>
        <v>7.2557859933874383E-2</v>
      </c>
      <c r="DD193" s="24">
        <f t="shared" ca="1" si="231"/>
        <v>0.10883678990081158</v>
      </c>
      <c r="DF193" s="19" cm="1">
        <f t="array" aca="1" ref="DF193" ca="1">MAX(_xlfn._xlws.FILTER(CQ193:DD193,CQ193:DD193&lt;BJ193))</f>
        <v>-1.2804328223624891E-2</v>
      </c>
      <c r="DG193" s="19" cm="1">
        <f t="array" aca="1" ref="DG193" ca="1">MIN(_xlfn._xlws.FILTER(CQ193:DD193,CQ193:DD193&gt;BJ193))</f>
        <v>-6.5961690848976712E-3</v>
      </c>
      <c r="DH193" s="2" cm="1">
        <f t="array" aca="1" ref="DH193" ca="1">_FV(EE193,"Fechamento anterior",TRUE)</f>
        <v>19.7</v>
      </c>
      <c r="DI193" s="36">
        <f t="shared" ca="1" si="174"/>
        <v>0.42718685207693202</v>
      </c>
      <c r="DJ193" s="18">
        <f t="shared" ca="1" si="232"/>
        <v>19.447754733994589</v>
      </c>
      <c r="DK193" s="18">
        <f t="shared" ca="1" si="233"/>
        <v>19.570055469027515</v>
      </c>
      <c r="DL193" s="9"/>
      <c r="DM193" s="9"/>
      <c r="DN193" s="9"/>
      <c r="DO193" s="9"/>
      <c r="DP193" s="79">
        <v>1.0219378271186141E-2</v>
      </c>
      <c r="DQ193" s="79">
        <v>4.8235205349573783E-3</v>
      </c>
      <c r="DR193" s="79">
        <v>8.8431209807551953E-3</v>
      </c>
      <c r="DS193" s="79">
        <f t="shared" ca="1" si="175"/>
        <v>6.2081591387272202E-3</v>
      </c>
      <c r="DT193" s="47"/>
      <c r="DU193" s="43">
        <f t="shared" si="176"/>
        <v>0.63262844545594032</v>
      </c>
      <c r="DV193" s="83">
        <f t="shared" ca="1" si="177"/>
        <v>1.2586999999999999</v>
      </c>
      <c r="DW193" s="83">
        <f t="shared" ca="1" si="178"/>
        <v>1.8478000000000001</v>
      </c>
      <c r="DX193" s="83">
        <f t="shared" ca="1" si="234"/>
        <v>-0.58910000000000018</v>
      </c>
      <c r="DY193" s="67"/>
      <c r="DZ193" s="67"/>
      <c r="EA193" s="85"/>
      <c r="EB193" s="44">
        <v>691400</v>
      </c>
      <c r="EC193" s="44" cm="1">
        <f t="array" aca="1" ref="EC193" ca="1">_FV(EE193,"Volume")</f>
        <v>356500</v>
      </c>
      <c r="EE193" s="2" t="e" vm="195">
        <v>#VALUE!</v>
      </c>
      <c r="EG193" s="10" cm="1">
        <f t="array" aca="1" ref="EG193" ca="1">_FV(EE193,"Ações em circulação",TRUE)</f>
        <v>275536300</v>
      </c>
      <c r="EH193" s="21">
        <f>VLOOKUP(BH193,Fundamentus!A:U,5,FALSE)</f>
        <v>1.7430000000000001</v>
      </c>
      <c r="EI193" s="2">
        <f t="shared" ca="1" si="180"/>
        <v>3082591996.5576591</v>
      </c>
      <c r="EJ193" s="20">
        <v>577526456.02461267</v>
      </c>
      <c r="EK193" s="20">
        <f t="shared" ca="1" si="181"/>
        <v>574286888.95869184</v>
      </c>
      <c r="EM193" s="40" t="str">
        <f>IF(VLOOKUP(BH193,Fundamentus!A:U,3,FALSE)&lt;15,"Bom",IF(VLOOKUP(BH193,Fundamentus!A:U,3,FALSE)&gt;15,"Ruim","n/a"))</f>
        <v>Bom</v>
      </c>
      <c r="EN193" s="36" t="str">
        <f>IF(VLOOKUP(BH193,Fundamentus!A:U,4,FALSE)&lt;1,"Baixo",IF(VLOOKUP(BH193,Fundamentus!A:U,4,FALSE)&lt;1.5,"Moderado",IF(VLOOKUP(BH193,Fundamentus!A:U,4,FALSE)&gt;1.5,"Alto","n/a")))</f>
        <v>Alto</v>
      </c>
      <c r="EO193" s="20" t="str">
        <f>IF(VLOOKUP(BH193,Fundamentus!A:U,8,FALSE)&lt;0,"Risco elevado",IF(VLOOKUP(BH193,Fundamentus!A:U,8,FALSE)&lt;1,"Saudável",IF(VLOOKUP(BH193,Fundamentus!A:U,8,FALSE)&lt;3,"Estável",IF(VLOOKUP(BH193,Fundamentus!A:U,8,FALSE)&gt;3,"Alerta","n/a"))))</f>
        <v>Alerta</v>
      </c>
      <c r="EP193" s="36" t="str">
        <f t="shared" si="182"/>
        <v>Bom</v>
      </c>
      <c r="EQ193" s="20" t="str">
        <f>IF(VLOOKUP(BH193,Fundamentus!A:U,12,FALSE)&lt;2,"Subvalorizada",IF(VLOOKUP(BH193,Fundamentus!A:U,12,FALSE)&lt;6,"Muita barata",IF(VLOOKUP(BH193,Fundamentus!A:U,12,FALSE)&lt;6,"Barata",IF(VLOOKUP(BH193,Fundamentus!A:U,12,FALSE)&lt;8,"Atrativa",IF(VLOOKUP(BH193,Fundamentus!A:U,12,FALSE)&gt;8,"Supervalorizada","n/a")))))</f>
        <v>Supervalorizada</v>
      </c>
      <c r="ES193" s="20" t="str">
        <f>IF(VLOOKUP(BH193,Fundamentus!A:U,17,FALSE)&lt;0.1,"Fraco retorno",IF(VLOOKUP(BH193,Fundamentus!A:U,17,FALSE)&gt;0.1,"Bom retorno","n/a"))</f>
        <v>Bom retorno</v>
      </c>
      <c r="ET193" s="20" t="str">
        <f>IF(VLOOKUP(BH193,Fundamentus!A:U,16,FALSE)&lt;0.1,"Ineficiente",IF(VLOOKUP(BH193,Fundamentus!A:U,16,FALSE)&gt;0.1,"Eficiente","n/a"))</f>
        <v>Eficiente</v>
      </c>
      <c r="EU193" s="41" t="str">
        <f>IF(VLOOKUP(BH193,Fundamentus!A:U,16,FALSE)&lt;0.1,"Oper. Ineficiente",IF(VLOOKUP(BH193,Fundamentus!A:U,16,FALSE)&gt;0.1,"Oper.Eficiente","n/a"))</f>
        <v>Oper.Eficiente</v>
      </c>
      <c r="EV193" s="42">
        <f>VLOOKUP(BH193,Fundamentus!A:U,14,FALSE)</f>
        <v>0.18629999999999999</v>
      </c>
      <c r="EW193" s="20" t="str">
        <f>IF(VLOOKUP(BH193,Fundamentus!A:U,21,FALSE)&lt;0,"Negativo",IF(VLOOKUP(BH193,Fundamentus!A:U,21,FALSE)&lt;0.05,"Fraco",IF(VLOOKUP(BH193,Fundamentus!A:U,21,FALSE)&lt;0.1,"Bom",IF(VLOOKUP(BH193,Fundamentus!A:U,21,FALSE)&gt;0.1,"Muito bom","n/a"))))</f>
        <v>Muito bom</v>
      </c>
      <c r="EY193" s="37" t="str">
        <f>IF(VLOOKUP(BH193,Fundamentus!A:U,15,FALSE)&gt;1,"Bom",IF(VLOOKUP(BH193,Fundamentus!A:U,15,FALSE)&lt;1,"Ruim","n/a"))</f>
        <v>Bom</v>
      </c>
      <c r="EZ193" s="20" t="str">
        <f>IF(VLOOKUP(BH193,Fundamentus!A:U,20,FALSE)&lt;0.5,"Baixa",IF(VLOOKUP(BH193,Fundamentus!A:U,20,FALSE)&lt;1,"Moderada",IF(VLOOKUP(BH193,Fundamentus!A:U,20,FALSE)&lt;2,"Alerta",IF(VLOOKUP(BH193,Fundamentus!A:U,20,FALSE)&gt;2,"Alta","n/a"))))</f>
        <v>Baixa</v>
      </c>
      <c r="FA193" s="10"/>
    </row>
    <row r="194" spans="1:157" s="2" customFormat="1" ht="11.25" hidden="1" x14ac:dyDescent="0.2">
      <c r="A194" s="4">
        <v>1.37</v>
      </c>
      <c r="B194" s="4">
        <v>1.41</v>
      </c>
      <c r="C194" s="4">
        <v>1.63</v>
      </c>
      <c r="D194" s="4">
        <v>1.66</v>
      </c>
      <c r="E194" s="4">
        <v>1.62</v>
      </c>
      <c r="F194" s="4">
        <v>1.53</v>
      </c>
      <c r="G194" s="4">
        <v>1.59</v>
      </c>
      <c r="H194" s="4">
        <v>1.55</v>
      </c>
      <c r="I194" s="4">
        <v>1.56</v>
      </c>
      <c r="J194" s="4">
        <v>1.69</v>
      </c>
      <c r="K194" s="4">
        <v>1.7</v>
      </c>
      <c r="L194" s="4">
        <v>1.72</v>
      </c>
      <c r="M194" s="4">
        <v>1.79</v>
      </c>
      <c r="N194" s="4">
        <v>1.71</v>
      </c>
      <c r="O194" s="4">
        <v>1.69</v>
      </c>
      <c r="P194" s="4">
        <v>1.55</v>
      </c>
      <c r="Q194" s="4">
        <v>1.6</v>
      </c>
      <c r="R194" s="4">
        <v>1.52</v>
      </c>
      <c r="S194" s="4">
        <v>1.5</v>
      </c>
      <c r="T194" s="4">
        <v>1.45</v>
      </c>
      <c r="U194" s="4">
        <v>1.41</v>
      </c>
      <c r="V194" s="4">
        <v>1.41</v>
      </c>
      <c r="W194" s="4">
        <v>1.4</v>
      </c>
      <c r="X194" s="4">
        <v>1.43</v>
      </c>
      <c r="Y194" s="4">
        <v>1.39</v>
      </c>
      <c r="Z194" s="4">
        <v>1.5</v>
      </c>
      <c r="AA194" s="4">
        <v>1.43</v>
      </c>
      <c r="AB194" s="4">
        <v>1.39</v>
      </c>
      <c r="AC194" s="4">
        <v>1.34</v>
      </c>
      <c r="AD194" s="4">
        <v>1.42</v>
      </c>
      <c r="AE194" s="4">
        <v>1.32</v>
      </c>
      <c r="AF194" s="4">
        <v>1.33</v>
      </c>
      <c r="AG194" s="4">
        <v>1.28</v>
      </c>
      <c r="AH194" s="4">
        <v>1.21</v>
      </c>
      <c r="AI194" s="4">
        <v>1.19</v>
      </c>
      <c r="AJ194" s="4">
        <v>1.22</v>
      </c>
      <c r="AK194" s="4">
        <v>1.26</v>
      </c>
      <c r="AL194" s="4">
        <v>1.25</v>
      </c>
      <c r="AM194" s="4">
        <v>1.28</v>
      </c>
      <c r="AN194" s="4">
        <v>1.28</v>
      </c>
      <c r="AO194" s="4">
        <v>1.28</v>
      </c>
      <c r="AP194" s="4">
        <v>1.28</v>
      </c>
      <c r="AQ194" s="4">
        <v>1.26</v>
      </c>
      <c r="AR194" s="4">
        <v>1.24</v>
      </c>
      <c r="AS194" s="4">
        <v>1.19</v>
      </c>
      <c r="AT194" s="4">
        <v>1.21</v>
      </c>
      <c r="AU194" s="4">
        <v>1.39</v>
      </c>
      <c r="AV194" s="4">
        <v>1.31</v>
      </c>
      <c r="AW194" s="4">
        <v>1.28</v>
      </c>
      <c r="AX194" s="4">
        <v>1.26</v>
      </c>
      <c r="AY194" s="12">
        <v>1.29</v>
      </c>
      <c r="AZ194" s="12">
        <v>1.29</v>
      </c>
      <c r="BA194" s="12">
        <v>1.29</v>
      </c>
      <c r="BB194" s="18">
        <v>1.25</v>
      </c>
      <c r="BC194" s="63">
        <v>1.25</v>
      </c>
      <c r="BD194" s="63">
        <v>1.23</v>
      </c>
      <c r="BE194" s="63">
        <v>1.22</v>
      </c>
      <c r="BF194" s="63">
        <v>1.22</v>
      </c>
      <c r="BG194" s="91" cm="1">
        <f t="array" aca="1" ref="BG194" ca="1">_FV(EE194,"Preço")</f>
        <v>1.21</v>
      </c>
      <c r="BH194" s="93" t="s">
        <v>191</v>
      </c>
      <c r="BI194" s="32" cm="1">
        <f t="array" aca="1" ref="BI194" ca="1">_FV(EE194,"Beta")</f>
        <v>1.7897000000000001</v>
      </c>
      <c r="BJ194" s="96" cm="1">
        <f t="array" aca="1" ref="BJ194" ca="1">_FV(EE194,"Variação (%)",TRUE)</f>
        <v>1.6807000000000002E-2</v>
      </c>
      <c r="BK194" s="49"/>
      <c r="BL194" s="49"/>
      <c r="BN194" s="32"/>
      <c r="BO194" s="20" cm="1">
        <f t="array" aca="1" ref="BO194" ca="1">_FV(EE194,"Baixo")</f>
        <v>1.18</v>
      </c>
      <c r="BP194" s="20" cm="1">
        <f t="array" aca="1" ref="BP194" ca="1">_FV(EE194,"Alto")</f>
        <v>1.22</v>
      </c>
      <c r="BQ194" s="32"/>
      <c r="BR194" s="74" t="e">
        <f ca="1">SQRT(22.5*(BG194/VLOOKUP(BH194,Fundamentus!A:U,3,FALSE))*(BG194/VLOOKUP(BH194,Fundamentus!A:U,4,FALSE)))</f>
        <v>#NUM!</v>
      </c>
      <c r="BT194" s="73">
        <f t="shared" ca="1" si="158"/>
        <v>-8.1967213114754172E-3</v>
      </c>
      <c r="BU194" s="36">
        <f t="shared" si="159"/>
        <v>-0.1094890510948906</v>
      </c>
      <c r="BV194" s="8"/>
      <c r="BW194" s="72">
        <f t="shared" si="160"/>
        <v>1.19</v>
      </c>
      <c r="BX194" s="72">
        <f t="shared" si="161"/>
        <v>1.4020689655172418</v>
      </c>
      <c r="BY194" s="72">
        <f t="shared" si="162"/>
        <v>1.79</v>
      </c>
      <c r="BZ194" s="17"/>
      <c r="CA194" s="17"/>
      <c r="CB194" s="43">
        <f t="shared" si="163"/>
        <v>1.1808846714568912</v>
      </c>
      <c r="CC194" s="18">
        <f t="shared" si="164"/>
        <v>1.2053795688847231</v>
      </c>
      <c r="CD194" s="43">
        <f t="shared" si="165"/>
        <v>1.2298744663125549</v>
      </c>
      <c r="CE194" s="98">
        <f t="shared" ca="1" si="166"/>
        <v>0.18862831040178216</v>
      </c>
      <c r="CF194" s="17"/>
      <c r="CG194" s="20">
        <f t="shared" si="167"/>
        <v>0.41000000000000014</v>
      </c>
      <c r="CH194" s="20">
        <f t="shared" si="168"/>
        <v>0.8</v>
      </c>
      <c r="CI194" s="20">
        <f t="shared" si="169"/>
        <v>1.0100000000000002</v>
      </c>
      <c r="CJ194" s="49">
        <f t="shared" si="170"/>
        <v>1.4000000000000001</v>
      </c>
      <c r="CK194" s="20">
        <f t="shared" si="171"/>
        <v>1.6100000000000003</v>
      </c>
      <c r="CL194" s="20">
        <f t="shared" si="172"/>
        <v>2</v>
      </c>
      <c r="CM194" s="20">
        <f t="shared" si="173"/>
        <v>2.2100000000000004</v>
      </c>
      <c r="CN194" s="2" cm="1">
        <f t="array" aca="1" ref="CN194" ca="1">MAX(_xlfn._xlws.FILTER(CG194:CM194,CG194:CM194&lt;BG194))</f>
        <v>1.0100000000000002</v>
      </c>
      <c r="CO194" s="2" cm="1">
        <f t="array" aca="1" ref="CO194" ca="1">MIN(_xlfn._xlws.FILTER($CG194:$CM194,$CG194:$CM194&gt;BG194))</f>
        <v>1.4000000000000001</v>
      </c>
      <c r="CP194" s="19">
        <f t="shared" ca="1" si="217"/>
        <v>0.38613861386138604</v>
      </c>
      <c r="CQ194" s="23">
        <f t="shared" ca="1" si="218"/>
        <v>-0.19306930693069302</v>
      </c>
      <c r="CR194" s="23">
        <f t="shared" ca="1" si="219"/>
        <v>-0.12871287128712869</v>
      </c>
      <c r="CS194" s="23">
        <f t="shared" ca="1" si="220"/>
        <v>-7.7227722772277213E-2</v>
      </c>
      <c r="CT194" s="23">
        <f t="shared" ca="1" si="221"/>
        <v>-4.2904290429042896E-2</v>
      </c>
      <c r="CU194" s="23">
        <f t="shared" ca="1" si="222"/>
        <v>-2.2714036109493296E-2</v>
      </c>
      <c r="CV194" s="23">
        <f t="shared" ca="1" si="223"/>
        <v>-1.1701170117011698E-2</v>
      </c>
      <c r="CW194" s="23">
        <f t="shared" ca="1" si="224"/>
        <v>-5.9405940594059389E-3</v>
      </c>
      <c r="CX194" s="24">
        <f t="shared" ca="1" si="225"/>
        <v>5.9405940594059389E-3</v>
      </c>
      <c r="CY194" s="24">
        <f t="shared" ca="1" si="226"/>
        <v>1.1701170117011698E-2</v>
      </c>
      <c r="CZ194" s="24">
        <f t="shared" ca="1" si="227"/>
        <v>2.2714036109493296E-2</v>
      </c>
      <c r="DA194" s="24">
        <f t="shared" ca="1" si="228"/>
        <v>4.2904290429042896E-2</v>
      </c>
      <c r="DB194" s="24">
        <f t="shared" ca="1" si="229"/>
        <v>7.7227722772277213E-2</v>
      </c>
      <c r="DC194" s="24">
        <f t="shared" ca="1" si="230"/>
        <v>0.12871287128712869</v>
      </c>
      <c r="DD194" s="24">
        <f t="shared" ca="1" si="231"/>
        <v>0.19306930693069302</v>
      </c>
      <c r="DF194" s="19" cm="1">
        <f t="array" aca="1" ref="DF194" ca="1">MAX(_xlfn._xlws.FILTER(CQ194:DD194,CQ194:DD194&lt;BJ194))</f>
        <v>1.1701170117011698E-2</v>
      </c>
      <c r="DG194" s="19" cm="1">
        <f t="array" aca="1" ref="DG194" ca="1">MIN(_xlfn._xlws.FILTER(CQ194:DD194,CQ194:DD194&gt;BJ194))</f>
        <v>2.2714036109493296E-2</v>
      </c>
      <c r="DH194" s="2" cm="1">
        <f t="array" aca="1" ref="DH194" ca="1">_FV(EE194,"Fechamento anterior",TRUE)</f>
        <v>1.19</v>
      </c>
      <c r="DI194" s="36">
        <f t="shared" ca="1" si="174"/>
        <v>0.46359890109890606</v>
      </c>
      <c r="DJ194" s="18">
        <f t="shared" ca="1" si="232"/>
        <v>1.2039243924392438</v>
      </c>
      <c r="DK194" s="18">
        <f t="shared" ca="1" si="233"/>
        <v>1.217029702970297</v>
      </c>
      <c r="DL194" s="9"/>
      <c r="DM194" s="9"/>
      <c r="DN194" s="9"/>
      <c r="DO194" s="9"/>
      <c r="DP194" s="79">
        <v>2.7227227227227244E-2</v>
      </c>
      <c r="DQ194" s="79">
        <v>8.73600873600874E-3</v>
      </c>
      <c r="DR194" s="79">
        <v>8.73600873600874E-3</v>
      </c>
      <c r="DS194" s="79">
        <f t="shared" ca="1" si="175"/>
        <v>1.1012865992481599E-2</v>
      </c>
      <c r="DT194" s="47"/>
      <c r="DU194" s="43">
        <f t="shared" si="176"/>
        <v>1.2247448713915901E-2</v>
      </c>
      <c r="DV194" s="83">
        <f t="shared" ca="1" si="177"/>
        <v>2.2158000000000002</v>
      </c>
      <c r="DW194" s="83">
        <f t="shared" ca="1" si="178"/>
        <v>0.10899999999999976</v>
      </c>
      <c r="DX194" s="83">
        <f t="shared" ca="1" si="234"/>
        <v>2.1068000000000007</v>
      </c>
      <c r="DY194" s="67"/>
      <c r="DZ194" s="67"/>
      <c r="EA194" s="85"/>
      <c r="EB194" s="44">
        <v>38600</v>
      </c>
      <c r="EC194" s="44" cm="1">
        <f t="array" aca="1" ref="EC194" ca="1">_FV(EE194,"Volume")</f>
        <v>51700</v>
      </c>
      <c r="EE194" s="2" t="e" vm="196">
        <v>#VALUE!</v>
      </c>
      <c r="EG194" s="10" cm="1">
        <f t="array" aca="1" ref="EG194" ca="1">_FV(EE194,"Ações em circulação",TRUE)</f>
        <v>43716190</v>
      </c>
      <c r="EH194" s="21">
        <f>VLOOKUP(BH194,Fundamentus!A:U,5,FALSE)</f>
        <v>0.47499999999999998</v>
      </c>
      <c r="EI194" s="2">
        <f t="shared" ca="1" si="180"/>
        <v>111361241.89473684</v>
      </c>
      <c r="EJ194" s="20">
        <v>-36315084.107452631</v>
      </c>
      <c r="EK194" s="20">
        <f t="shared" ca="1" si="181"/>
        <v>-37372832.779873684</v>
      </c>
      <c r="EM194" s="40" t="str">
        <f>IF(VLOOKUP(BH194,Fundamentus!A:U,3,FALSE)&lt;15,"Bom",IF(VLOOKUP(BH194,Fundamentus!A:U,3,FALSE)&gt;15,"Ruim","n/a"))</f>
        <v>Bom</v>
      </c>
      <c r="EN194" s="36" t="str">
        <f>IF(VLOOKUP(BH194,Fundamentus!A:U,4,FALSE)&lt;1,"Baixo",IF(VLOOKUP(BH194,Fundamentus!A:U,4,FALSE)&lt;1.5,"Moderado",IF(VLOOKUP(BH194,Fundamentus!A:U,4,FALSE)&gt;1.5,"Alto","n/a")))</f>
        <v>Baixo</v>
      </c>
      <c r="EO194" s="20" t="str">
        <f>IF(VLOOKUP(BH194,Fundamentus!A:U,8,FALSE)&lt;0,"Risco elevado",IF(VLOOKUP(BH194,Fundamentus!A:U,8,FALSE)&lt;1,"Saudável",IF(VLOOKUP(BH194,Fundamentus!A:U,8,FALSE)&lt;3,"Estável",IF(VLOOKUP(BH194,Fundamentus!A:U,8,FALSE)&gt;3,"Alerta","n/a"))))</f>
        <v>Alerta</v>
      </c>
      <c r="EP194" s="36" t="str">
        <f t="shared" si="182"/>
        <v>Ruim</v>
      </c>
      <c r="EQ194" s="20" t="str">
        <f>IF(VLOOKUP(BH194,Fundamentus!A:U,12,FALSE)&lt;2,"Subvalorizada",IF(VLOOKUP(BH194,Fundamentus!A:U,12,FALSE)&lt;6,"Muita barata",IF(VLOOKUP(BH194,Fundamentus!A:U,12,FALSE)&lt;6,"Barata",IF(VLOOKUP(BH194,Fundamentus!A:U,12,FALSE)&lt;8,"Atrativa",IF(VLOOKUP(BH194,Fundamentus!A:U,12,FALSE)&gt;8,"Supervalorizada","n/a")))))</f>
        <v>Subvalorizada</v>
      </c>
      <c r="ES194" s="20" t="str">
        <f>IF(VLOOKUP(BH194,Fundamentus!A:U,17,FALSE)&lt;0.1,"Fraco retorno",IF(VLOOKUP(BH194,Fundamentus!A:U,17,FALSE)&gt;0.1,"Bom retorno","n/a"))</f>
        <v>Fraco retorno</v>
      </c>
      <c r="ET194" s="20" t="str">
        <f>IF(VLOOKUP(BH194,Fundamentus!A:U,16,FALSE)&lt;0.1,"Ineficiente",IF(VLOOKUP(BH194,Fundamentus!A:U,16,FALSE)&gt;0.1,"Eficiente","n/a"))</f>
        <v>Ineficiente</v>
      </c>
      <c r="EU194" s="41" t="str">
        <f>IF(VLOOKUP(BH194,Fundamentus!A:U,16,FALSE)&lt;0.1,"Oper. Ineficiente",IF(VLOOKUP(BH194,Fundamentus!A:U,16,FALSE)&gt;0.1,"Oper.Eficiente","n/a"))</f>
        <v>Oper. Ineficiente</v>
      </c>
      <c r="EV194" s="42">
        <f>VLOOKUP(BH194,Fundamentus!A:U,14,FALSE)</f>
        <v>-0.33560000000000001</v>
      </c>
      <c r="EW194" s="20" t="str">
        <f>IF(VLOOKUP(BH194,Fundamentus!A:U,21,FALSE)&lt;0,"Negativo",IF(VLOOKUP(BH194,Fundamentus!A:U,21,FALSE)&lt;0.05,"Fraco",IF(VLOOKUP(BH194,Fundamentus!A:U,21,FALSE)&lt;0.1,"Bom",IF(VLOOKUP(BH194,Fundamentus!A:U,21,FALSE)&gt;0.1,"Muito bom","n/a"))))</f>
        <v>Muito bom</v>
      </c>
      <c r="EY194" s="37" t="str">
        <f>IF(VLOOKUP(BH194,Fundamentus!A:U,15,FALSE)&gt;1,"Bom",IF(VLOOKUP(BH194,Fundamentus!A:U,15,FALSE)&lt;1,"Ruim","n/a"))</f>
        <v>Bom</v>
      </c>
      <c r="EZ194" s="20" t="str">
        <f>IF(VLOOKUP(BH194,Fundamentus!A:U,20,FALSE)&lt;0.5,"Baixa",IF(VLOOKUP(BH194,Fundamentus!A:U,20,FALSE)&lt;1,"Moderada",IF(VLOOKUP(BH194,Fundamentus!A:U,20,FALSE)&lt;2,"Alerta",IF(VLOOKUP(BH194,Fundamentus!A:U,20,FALSE)&gt;2,"Alta","n/a"))))</f>
        <v>Alerta</v>
      </c>
      <c r="FA194" s="10"/>
    </row>
    <row r="195" spans="1:157" s="2" customFormat="1" ht="11.25" hidden="1" x14ac:dyDescent="0.2">
      <c r="A195" s="4">
        <v>7.42</v>
      </c>
      <c r="B195" s="4">
        <v>7.15</v>
      </c>
      <c r="C195" s="4">
        <v>7.31</v>
      </c>
      <c r="D195" s="4">
        <v>7.09</v>
      </c>
      <c r="E195" s="4">
        <v>6.88</v>
      </c>
      <c r="F195" s="4">
        <v>6.63</v>
      </c>
      <c r="G195" s="4">
        <v>6.27</v>
      </c>
      <c r="H195" s="4">
        <v>6.27</v>
      </c>
      <c r="I195" s="4">
        <v>6.65</v>
      </c>
      <c r="J195" s="4">
        <v>7.25</v>
      </c>
      <c r="K195" s="4">
        <v>7.44</v>
      </c>
      <c r="L195" s="4">
        <v>7.1</v>
      </c>
      <c r="M195" s="4">
        <v>7.07</v>
      </c>
      <c r="N195" s="4">
        <v>7.68</v>
      </c>
      <c r="O195" s="4">
        <v>7.85</v>
      </c>
      <c r="P195" s="4">
        <v>7.82</v>
      </c>
      <c r="Q195" s="4">
        <v>7.7</v>
      </c>
      <c r="R195" s="4">
        <v>7.83</v>
      </c>
      <c r="S195" s="4">
        <v>7.69</v>
      </c>
      <c r="T195" s="4">
        <v>7.99</v>
      </c>
      <c r="U195" s="4">
        <v>7.35</v>
      </c>
      <c r="V195" s="4">
        <v>7.14</v>
      </c>
      <c r="W195" s="4">
        <v>6.81</v>
      </c>
      <c r="X195" s="4">
        <v>7.12</v>
      </c>
      <c r="Y195" s="4">
        <v>7.01</v>
      </c>
      <c r="Z195" s="4">
        <v>6.89</v>
      </c>
      <c r="AA195" s="4">
        <v>6.71</v>
      </c>
      <c r="AB195" s="4">
        <v>6.73</v>
      </c>
      <c r="AC195" s="4">
        <v>6.72</v>
      </c>
      <c r="AD195" s="4">
        <v>6.91</v>
      </c>
      <c r="AE195" s="4">
        <v>5.5</v>
      </c>
      <c r="AF195" s="4">
        <v>5.08</v>
      </c>
      <c r="AG195" s="4">
        <v>4.5199999999999996</v>
      </c>
      <c r="AH195" s="4">
        <v>4.28</v>
      </c>
      <c r="AI195" s="4">
        <v>4.29</v>
      </c>
      <c r="AJ195" s="4">
        <v>4.07</v>
      </c>
      <c r="AK195" s="4">
        <v>4.55</v>
      </c>
      <c r="AL195" s="4">
        <v>4.6500000000000004</v>
      </c>
      <c r="AM195" s="4">
        <v>4.8499999999999996</v>
      </c>
      <c r="AN195" s="4">
        <v>5.2</v>
      </c>
      <c r="AO195" s="4">
        <v>4.83</v>
      </c>
      <c r="AP195" s="4">
        <v>5.31</v>
      </c>
      <c r="AQ195" s="4">
        <v>5.25</v>
      </c>
      <c r="AR195" s="4">
        <v>4.93</v>
      </c>
      <c r="AS195" s="4">
        <v>5.41</v>
      </c>
      <c r="AT195" s="4">
        <v>5.55</v>
      </c>
      <c r="AU195" s="4">
        <v>5.4550000000000001</v>
      </c>
      <c r="AV195" s="4">
        <v>5.33</v>
      </c>
      <c r="AW195" s="4">
        <v>5.75</v>
      </c>
      <c r="AX195" s="4">
        <v>6.07</v>
      </c>
      <c r="AY195" s="12">
        <v>6.19</v>
      </c>
      <c r="AZ195" s="12">
        <v>6.9</v>
      </c>
      <c r="BA195" s="12">
        <v>6.61</v>
      </c>
      <c r="BB195" s="18">
        <v>7.14</v>
      </c>
      <c r="BC195" s="63">
        <v>6.54</v>
      </c>
      <c r="BD195" s="63">
        <v>6.44</v>
      </c>
      <c r="BE195" s="63">
        <v>6.75</v>
      </c>
      <c r="BF195" s="63">
        <v>6.99</v>
      </c>
      <c r="BG195" s="91" cm="1">
        <f t="array" aca="1" ref="BG195" ca="1">_FV(EE195,"Preço")</f>
        <v>7.19</v>
      </c>
      <c r="BH195" s="93" t="s">
        <v>192</v>
      </c>
      <c r="BI195" s="32" cm="1">
        <f t="array" aca="1" ref="BI195" ca="1">_FV(EE195,"Beta")</f>
        <v>1.6121000000000001</v>
      </c>
      <c r="BJ195" s="96" cm="1">
        <f t="array" aca="1" ref="BJ195" ca="1">_FV(EE195,"Variação (%)",TRUE)</f>
        <v>-8.2760000000000004E-3</v>
      </c>
      <c r="BK195" s="49"/>
      <c r="BL195" s="49"/>
      <c r="BN195" s="32"/>
      <c r="BO195" s="20" cm="1">
        <f t="array" aca="1" ref="BO195" ca="1">_FV(EE195,"Baixo")</f>
        <v>7.07</v>
      </c>
      <c r="BP195" s="20" cm="1">
        <f t="array" aca="1" ref="BP195" ca="1">_FV(EE195,"Alto")</f>
        <v>7.23</v>
      </c>
      <c r="BQ195" s="32"/>
      <c r="BR195" s="74">
        <f ca="1">SQRT(22.5*(BG195/VLOOKUP(BH195,Fundamentus!A:U,3,FALSE))*(BG195/VLOOKUP(BH195,Fundamentus!A:U,4,FALSE)))</f>
        <v>11.925393006077883</v>
      </c>
      <c r="BT195" s="73">
        <f t="shared" ca="1" si="158"/>
        <v>2.8612303290414903E-2</v>
      </c>
      <c r="BU195" s="36">
        <f t="shared" si="159"/>
        <v>-9.0296495956873307E-2</v>
      </c>
      <c r="BV195" s="8"/>
      <c r="BW195" s="72">
        <f t="shared" si="160"/>
        <v>4.07</v>
      </c>
      <c r="BX195" s="72">
        <f t="shared" si="161"/>
        <v>6.3606034482758611</v>
      </c>
      <c r="BY195" s="72">
        <f t="shared" si="162"/>
        <v>7.99</v>
      </c>
      <c r="BZ195" s="17"/>
      <c r="CA195" s="17"/>
      <c r="CB195" s="43">
        <f t="shared" si="163"/>
        <v>6.6537857306316983</v>
      </c>
      <c r="CC195" s="18">
        <f t="shared" si="164"/>
        <v>7.0759231490158072</v>
      </c>
      <c r="CD195" s="43">
        <f t="shared" si="165"/>
        <v>7.4980605673999161</v>
      </c>
      <c r="CE195" s="98">
        <f t="shared" ca="1" si="166"/>
        <v>0.27023629277135774</v>
      </c>
      <c r="CF195" s="17"/>
      <c r="CG195" s="20">
        <f t="shared" si="167"/>
        <v>0.79000000000000092</v>
      </c>
      <c r="CH195" s="20">
        <f t="shared" si="168"/>
        <v>2.4300000000000006</v>
      </c>
      <c r="CI195" s="20">
        <f t="shared" si="169"/>
        <v>4.7100000000000009</v>
      </c>
      <c r="CJ195" s="49">
        <f t="shared" si="170"/>
        <v>6.3500000000000005</v>
      </c>
      <c r="CK195" s="20">
        <f t="shared" si="171"/>
        <v>8.6300000000000008</v>
      </c>
      <c r="CL195" s="20">
        <f t="shared" si="172"/>
        <v>10.27</v>
      </c>
      <c r="CM195" s="20">
        <f t="shared" si="173"/>
        <v>12.55</v>
      </c>
      <c r="CN195" s="2" cm="1">
        <f t="array" aca="1" ref="CN195" ca="1">MAX(_xlfn._xlws.FILTER(CG195:CM195,CG195:CM195&lt;BG195))</f>
        <v>6.3500000000000005</v>
      </c>
      <c r="CO195" s="2" cm="1">
        <f t="array" aca="1" ref="CO195" ca="1">MIN(_xlfn._xlws.FILTER($CG195:$CM195,$CG195:$CM195&gt;BG195))</f>
        <v>8.6300000000000008</v>
      </c>
      <c r="CP195" s="19">
        <f t="shared" ca="1" si="217"/>
        <v>0.35905511811023616</v>
      </c>
      <c r="CQ195" s="23">
        <f t="shared" ca="1" si="218"/>
        <v>-0.17952755905511808</v>
      </c>
      <c r="CR195" s="23">
        <f t="shared" ca="1" si="219"/>
        <v>-0.11968503937007872</v>
      </c>
      <c r="CS195" s="23">
        <f t="shared" ca="1" si="220"/>
        <v>-7.1811023622047235E-2</v>
      </c>
      <c r="CT195" s="23">
        <f t="shared" ca="1" si="221"/>
        <v>-3.9895013123359573E-2</v>
      </c>
      <c r="CU195" s="23">
        <f t="shared" ca="1" si="222"/>
        <v>-2.1120889300602127E-2</v>
      </c>
      <c r="CV195" s="23">
        <f t="shared" ca="1" si="223"/>
        <v>-1.088045812455261E-2</v>
      </c>
      <c r="CW195" s="23">
        <f t="shared" ca="1" si="224"/>
        <v>-5.5239248940036336E-3</v>
      </c>
      <c r="CX195" s="24">
        <f t="shared" ca="1" si="225"/>
        <v>5.5239248940036336E-3</v>
      </c>
      <c r="CY195" s="24">
        <f t="shared" ca="1" si="226"/>
        <v>1.088045812455261E-2</v>
      </c>
      <c r="CZ195" s="24">
        <f t="shared" ca="1" si="227"/>
        <v>2.1120889300602127E-2</v>
      </c>
      <c r="DA195" s="24">
        <f t="shared" ca="1" si="228"/>
        <v>3.9895013123359573E-2</v>
      </c>
      <c r="DB195" s="24">
        <f t="shared" ca="1" si="229"/>
        <v>7.1811023622047235E-2</v>
      </c>
      <c r="DC195" s="24">
        <f t="shared" ca="1" si="230"/>
        <v>0.11968503937007872</v>
      </c>
      <c r="DD195" s="24">
        <f t="shared" ca="1" si="231"/>
        <v>0.17952755905511808</v>
      </c>
      <c r="DF195" s="19" cm="1">
        <f t="array" aca="1" ref="DF195" ca="1">MAX(_xlfn._xlws.FILTER(CQ195:DD195,CQ195:DD195&lt;BJ195))</f>
        <v>-1.088045812455261E-2</v>
      </c>
      <c r="DG195" s="19" cm="1">
        <f t="array" aca="1" ref="DG195" ca="1">MIN(_xlfn._xlws.FILTER(CQ195:DD195,CQ195:DD195&gt;BJ195))</f>
        <v>-5.5239248940036336E-3</v>
      </c>
      <c r="DH195" s="2" cm="1">
        <f t="array" aca="1" ref="DH195" ca="1">_FV(EE195,"Fechamento anterior",TRUE)</f>
        <v>7.25</v>
      </c>
      <c r="DI195" s="36">
        <f t="shared" ca="1" si="174"/>
        <v>0.48624659709619666</v>
      </c>
      <c r="DJ195" s="18">
        <f t="shared" ca="1" si="232"/>
        <v>7.1711166785969933</v>
      </c>
      <c r="DK195" s="18">
        <f t="shared" ca="1" si="233"/>
        <v>7.2099515445184741</v>
      </c>
      <c r="DL195" s="9"/>
      <c r="DM195" s="9"/>
      <c r="DN195" s="9"/>
      <c r="DO195" s="9"/>
      <c r="DP195" s="79">
        <v>1.1483178012952141E-2</v>
      </c>
      <c r="DQ195" s="79">
        <v>1.0643943969224802E-2</v>
      </c>
      <c r="DR195" s="79">
        <v>1.1483178012952141E-2</v>
      </c>
      <c r="DS195" s="79">
        <f t="shared" ca="1" si="175"/>
        <v>5.3565332305489767E-3</v>
      </c>
      <c r="DT195" s="47"/>
      <c r="DU195" s="43">
        <f t="shared" si="176"/>
        <v>0.21106870919205428</v>
      </c>
      <c r="DV195" s="83">
        <f t="shared" ca="1" si="177"/>
        <v>2.0382000000000002</v>
      </c>
      <c r="DW195" s="83">
        <f t="shared" ca="1" si="178"/>
        <v>2.4397000000000002</v>
      </c>
      <c r="DX195" s="83">
        <f t="shared" ca="1" si="234"/>
        <v>-0.40149999999999997</v>
      </c>
      <c r="DY195" s="67"/>
      <c r="DZ195" s="67"/>
      <c r="EA195" s="85"/>
      <c r="EB195" s="44">
        <v>4145800</v>
      </c>
      <c r="EC195" s="44" cm="1">
        <f t="array" aca="1" ref="EC195" ca="1">_FV(EE195,"Volume")</f>
        <v>2897800</v>
      </c>
      <c r="EE195" s="2" t="e" vm="197">
        <v>#VALUE!</v>
      </c>
      <c r="EG195" s="10" cm="1">
        <f t="array" aca="1" ref="EG195" ca="1">_FV(EE195,"Ações em circulação",TRUE)</f>
        <v>696334200</v>
      </c>
      <c r="EH195" s="21">
        <f>VLOOKUP(BH195,Fundamentus!A:U,5,FALSE)</f>
        <v>0.48099999999999998</v>
      </c>
      <c r="EI195" s="2">
        <f t="shared" ca="1" si="180"/>
        <v>10408820993.762995</v>
      </c>
      <c r="EJ195" s="20">
        <v>808530867.01496875</v>
      </c>
      <c r="EK195" s="20">
        <f t="shared" ca="1" si="181"/>
        <v>831664797.4016633</v>
      </c>
      <c r="EM195" s="40" t="str">
        <f>IF(VLOOKUP(BH195,Fundamentus!A:U,3,FALSE)&lt;15,"Bom",IF(VLOOKUP(BH195,Fundamentus!A:U,3,FALSE)&gt;15,"Ruim","n/a"))</f>
        <v>Bom</v>
      </c>
      <c r="EN195" s="36" t="str">
        <f>IF(VLOOKUP(BH195,Fundamentus!A:U,4,FALSE)&lt;1,"Baixo",IF(VLOOKUP(BH195,Fundamentus!A:U,4,FALSE)&lt;1.5,"Moderado",IF(VLOOKUP(BH195,Fundamentus!A:U,4,FALSE)&gt;1.5,"Alto","n/a")))</f>
        <v>Moderado</v>
      </c>
      <c r="EO195" s="20" t="str">
        <f>IF(VLOOKUP(BH195,Fundamentus!A:U,8,FALSE)&lt;0,"Risco elevado",IF(VLOOKUP(BH195,Fundamentus!A:U,8,FALSE)&lt;1,"Saudável",IF(VLOOKUP(BH195,Fundamentus!A:U,8,FALSE)&lt;3,"Estável",IF(VLOOKUP(BH195,Fundamentus!A:U,8,FALSE)&gt;3,"Alerta","n/a"))))</f>
        <v>Risco elevado</v>
      </c>
      <c r="EP195" s="36" t="str">
        <f t="shared" si="182"/>
        <v>Ruim</v>
      </c>
      <c r="EQ195" s="20" t="str">
        <f>IF(VLOOKUP(BH195,Fundamentus!A:U,12,FALSE)&lt;2,"Subvalorizada",IF(VLOOKUP(BH195,Fundamentus!A:U,12,FALSE)&lt;6,"Muita barata",IF(VLOOKUP(BH195,Fundamentus!A:U,12,FALSE)&lt;6,"Barata",IF(VLOOKUP(BH195,Fundamentus!A:U,12,FALSE)&lt;8,"Atrativa",IF(VLOOKUP(BH195,Fundamentus!A:U,12,FALSE)&gt;8,"Supervalorizada","n/a")))))</f>
        <v>Muita barata</v>
      </c>
      <c r="ES195" s="20" t="str">
        <f>IF(VLOOKUP(BH195,Fundamentus!A:U,17,FALSE)&lt;0.1,"Fraco retorno",IF(VLOOKUP(BH195,Fundamentus!A:U,17,FALSE)&gt;0.1,"Bom retorno","n/a"))</f>
        <v>Bom retorno</v>
      </c>
      <c r="ET195" s="20" t="str">
        <f>IF(VLOOKUP(BH195,Fundamentus!A:U,16,FALSE)&lt;0.1,"Ineficiente",IF(VLOOKUP(BH195,Fundamentus!A:U,16,FALSE)&gt;0.1,"Eficiente","n/a"))</f>
        <v>Eficiente</v>
      </c>
      <c r="EU195" s="41" t="str">
        <f>IF(VLOOKUP(BH195,Fundamentus!A:U,16,FALSE)&lt;0.1,"Oper. Ineficiente",IF(VLOOKUP(BH195,Fundamentus!A:U,16,FALSE)&gt;0.1,"Oper.Eficiente","n/a"))</f>
        <v>Oper.Eficiente</v>
      </c>
      <c r="EV195" s="42">
        <f>VLOOKUP(BH195,Fundamentus!A:U,14,FALSE)</f>
        <v>7.9899999999999999E-2</v>
      </c>
      <c r="EW195" s="20" t="str">
        <f>IF(VLOOKUP(BH195,Fundamentus!A:U,21,FALSE)&lt;0,"Negativo",IF(VLOOKUP(BH195,Fundamentus!A:U,21,FALSE)&lt;0.05,"Fraco",IF(VLOOKUP(BH195,Fundamentus!A:U,21,FALSE)&lt;0.1,"Bom",IF(VLOOKUP(BH195,Fundamentus!A:U,21,FALSE)&gt;0.1,"Muito bom","n/a"))))</f>
        <v>Muito bom</v>
      </c>
      <c r="EY195" s="37" t="str">
        <f>IF(VLOOKUP(BH195,Fundamentus!A:U,15,FALSE)&gt;1,"Bom",IF(VLOOKUP(BH195,Fundamentus!A:U,15,FALSE)&lt;1,"Ruim","n/a"))</f>
        <v>Ruim</v>
      </c>
      <c r="EZ195" s="20" t="str">
        <f>IF(VLOOKUP(BH195,Fundamentus!A:U,20,FALSE)&lt;0.5,"Baixa",IF(VLOOKUP(BH195,Fundamentus!A:U,20,FALSE)&lt;1,"Moderada",IF(VLOOKUP(BH195,Fundamentus!A:U,20,FALSE)&lt;2,"Alerta",IF(VLOOKUP(BH195,Fundamentus!A:U,20,FALSE)&gt;2,"Alta","n/a"))))</f>
        <v>Alta</v>
      </c>
      <c r="FA195" s="10"/>
    </row>
    <row r="196" spans="1:157" s="2" customFormat="1" ht="11.25" hidden="1" x14ac:dyDescent="0.2">
      <c r="A196" s="4">
        <v>0.2</v>
      </c>
      <c r="B196" s="4">
        <v>0.23</v>
      </c>
      <c r="C196" s="4">
        <v>0.24</v>
      </c>
      <c r="D196" s="4">
        <v>0.26</v>
      </c>
      <c r="E196" s="4">
        <v>0.22</v>
      </c>
      <c r="F196" s="4">
        <v>0.19</v>
      </c>
      <c r="G196" s="4">
        <v>0.19</v>
      </c>
      <c r="H196" s="4">
        <v>0.18</v>
      </c>
      <c r="I196" s="4">
        <v>0.17</v>
      </c>
      <c r="J196" s="4">
        <v>0.18</v>
      </c>
      <c r="K196" s="4">
        <v>0.2</v>
      </c>
      <c r="L196" s="4">
        <v>0.18</v>
      </c>
      <c r="M196" s="4">
        <v>0.18</v>
      </c>
      <c r="N196" s="4">
        <v>0.18</v>
      </c>
      <c r="O196" s="4">
        <v>0.19</v>
      </c>
      <c r="P196" s="4">
        <v>0.18</v>
      </c>
      <c r="Q196" s="4">
        <v>0.16</v>
      </c>
      <c r="R196" s="4">
        <v>0.16</v>
      </c>
      <c r="S196" s="4">
        <v>0.16</v>
      </c>
      <c r="T196" s="4">
        <v>0.16</v>
      </c>
      <c r="U196" s="4">
        <v>0.15</v>
      </c>
      <c r="V196" s="4">
        <v>0.01</v>
      </c>
      <c r="W196" s="4">
        <v>0.01</v>
      </c>
      <c r="X196" s="4">
        <v>0.01</v>
      </c>
      <c r="Y196" s="4">
        <v>0.01</v>
      </c>
      <c r="Z196" s="4">
        <v>0.01</v>
      </c>
      <c r="AA196" s="4">
        <v>0.01</v>
      </c>
      <c r="AB196" s="4">
        <v>0.01</v>
      </c>
      <c r="AC196" s="4">
        <v>0.01</v>
      </c>
      <c r="AD196" s="4">
        <v>0.01</v>
      </c>
      <c r="AE196" s="4">
        <v>0.01</v>
      </c>
      <c r="AF196" s="4">
        <v>0.01</v>
      </c>
      <c r="AG196" s="4">
        <v>0.01</v>
      </c>
      <c r="AH196" s="4">
        <v>0.01</v>
      </c>
      <c r="AI196" s="4">
        <v>0.01</v>
      </c>
      <c r="AJ196" s="4">
        <v>0.01</v>
      </c>
      <c r="AK196" s="4">
        <v>0.01</v>
      </c>
      <c r="AL196" s="4">
        <v>0.01</v>
      </c>
      <c r="AM196" s="4">
        <v>0.01</v>
      </c>
      <c r="AN196" s="4">
        <v>0.01</v>
      </c>
      <c r="AO196" s="4">
        <v>0.01</v>
      </c>
      <c r="AP196" s="4">
        <v>0.01</v>
      </c>
      <c r="AQ196" s="4">
        <v>0.01</v>
      </c>
      <c r="AR196" s="4">
        <v>0.71</v>
      </c>
      <c r="AS196" s="4">
        <v>1.05</v>
      </c>
      <c r="AT196" s="4">
        <v>0.85</v>
      </c>
      <c r="AU196" s="4">
        <v>0.81499999999999995</v>
      </c>
      <c r="AV196" s="4">
        <v>0.75</v>
      </c>
      <c r="AW196" s="4">
        <v>0.91</v>
      </c>
      <c r="AX196" s="4">
        <v>0.88</v>
      </c>
      <c r="AY196" s="12">
        <v>0.75</v>
      </c>
      <c r="AZ196" s="12">
        <v>0.69</v>
      </c>
      <c r="BA196" s="12">
        <v>0.67</v>
      </c>
      <c r="BB196" s="18">
        <v>0.66</v>
      </c>
      <c r="BC196" s="63">
        <v>0.56999999999999995</v>
      </c>
      <c r="BD196" s="63">
        <v>0.42</v>
      </c>
      <c r="BE196" s="63">
        <v>0.34</v>
      </c>
      <c r="BF196" s="63">
        <v>0.27</v>
      </c>
      <c r="BG196" s="91" cm="1">
        <f t="array" aca="1" ref="BG196" ca="1">_FV(EE196,"Preço")</f>
        <v>0.3</v>
      </c>
      <c r="BH196" s="93" t="s">
        <v>193</v>
      </c>
      <c r="BI196" s="32" cm="1">
        <f t="array" aca="1" ref="BI196" ca="1">_FV(EE196,"Beta")</f>
        <v>1.7021999999999999</v>
      </c>
      <c r="BJ196" s="96" cm="1">
        <f t="array" aca="1" ref="BJ196" ca="1">_FV(EE196,"Variação (%)",TRUE)</f>
        <v>3.4483E-2</v>
      </c>
      <c r="BK196" s="49"/>
      <c r="BL196" s="49"/>
      <c r="BN196" s="32"/>
      <c r="BO196" s="20" cm="1">
        <f t="array" aca="1" ref="BO196" ca="1">_FV(EE196,"Baixo")</f>
        <v>0.26</v>
      </c>
      <c r="BP196" s="20" cm="1">
        <f t="array" aca="1" ref="BP196" ca="1">_FV(EE196,"Alto")</f>
        <v>0.32</v>
      </c>
      <c r="BQ196" s="32"/>
      <c r="BR196" s="74" t="e">
        <f ca="1">SQRT(22.5*(BG196/VLOOKUP(BH196,Fundamentus!A:U,3,FALSE))*(BG196/VLOOKUP(BH196,Fundamentus!A:U,4,FALSE)))</f>
        <v>#DIV/0!</v>
      </c>
      <c r="BT196" s="73">
        <f t="shared" ca="1" si="158"/>
        <v>0.11111111111111099</v>
      </c>
      <c r="BU196" s="36">
        <f t="shared" si="159"/>
        <v>0.70000000000000007</v>
      </c>
      <c r="BV196" s="8"/>
      <c r="BW196" s="72">
        <f t="shared" si="160"/>
        <v>0.01</v>
      </c>
      <c r="BX196" s="72">
        <f t="shared" si="161"/>
        <v>0.2502586206896551</v>
      </c>
      <c r="BY196" s="72">
        <f t="shared" si="162"/>
        <v>1.05</v>
      </c>
      <c r="BZ196" s="17"/>
      <c r="CA196" s="17"/>
      <c r="CB196" s="43">
        <f t="shared" si="163"/>
        <v>-6.2709276625295518E-2</v>
      </c>
      <c r="CC196" s="18">
        <f t="shared" si="164"/>
        <v>0.16044985941891809</v>
      </c>
      <c r="CD196" s="43">
        <f t="shared" si="165"/>
        <v>0.38360899546313171</v>
      </c>
      <c r="CE196" s="98">
        <f t="shared" ca="1" si="166"/>
        <v>0.62533913266913432</v>
      </c>
      <c r="CF196" s="17"/>
      <c r="CG196" s="20">
        <f t="shared" si="167"/>
        <v>-1.2033333333333334</v>
      </c>
      <c r="CH196" s="20">
        <f t="shared" si="168"/>
        <v>-0.59666666666666668</v>
      </c>
      <c r="CI196" s="20">
        <f t="shared" si="169"/>
        <v>-0.16333333333333333</v>
      </c>
      <c r="CJ196" s="49">
        <f t="shared" si="170"/>
        <v>0.44333333333333336</v>
      </c>
      <c r="CK196" s="20">
        <f t="shared" si="171"/>
        <v>0.87666666666666671</v>
      </c>
      <c r="CL196" s="20">
        <f t="shared" si="172"/>
        <v>1.4833333333333334</v>
      </c>
      <c r="CM196" s="20">
        <f t="shared" si="173"/>
        <v>1.9166666666666667</v>
      </c>
      <c r="CN196" s="2" cm="1">
        <f t="array" aca="1" ref="CN196" ca="1">MAX(_xlfn._xlws.FILTER(CG196:CM196,CG196:CM196&lt;BG196))</f>
        <v>-0.16333333333333333</v>
      </c>
      <c r="CO196" s="2" cm="1">
        <f t="array" aca="1" ref="CO196" ca="1">MIN(_xlfn._xlws.FILTER($CG196:$CM196,$CG196:$CM196&gt;BG196))</f>
        <v>0.44333333333333336</v>
      </c>
      <c r="CP196" s="19">
        <f t="shared" ca="1" si="217"/>
        <v>-3.7142857142857144</v>
      </c>
      <c r="CQ196" s="23">
        <f t="shared" ca="1" si="218"/>
        <v>1.8571428571428572</v>
      </c>
      <c r="CR196" s="23">
        <f t="shared" ca="1" si="219"/>
        <v>1.2380952380952381</v>
      </c>
      <c r="CS196" s="23">
        <f t="shared" ca="1" si="220"/>
        <v>0.74285714285714288</v>
      </c>
      <c r="CT196" s="23">
        <f t="shared" ca="1" si="221"/>
        <v>0.41269841269841273</v>
      </c>
      <c r="CU196" s="23">
        <f t="shared" ca="1" si="222"/>
        <v>0.21848739495798319</v>
      </c>
      <c r="CV196" s="23">
        <f t="shared" ca="1" si="223"/>
        <v>0.11255411255411256</v>
      </c>
      <c r="CW196" s="23">
        <f t="shared" ca="1" si="224"/>
        <v>5.7142857142857148E-2</v>
      </c>
      <c r="CX196" s="24">
        <f t="shared" ca="1" si="225"/>
        <v>-5.7142857142857148E-2</v>
      </c>
      <c r="CY196" s="24">
        <f t="shared" ca="1" si="226"/>
        <v>-0.11255411255411256</v>
      </c>
      <c r="CZ196" s="24">
        <f t="shared" ca="1" si="227"/>
        <v>-0.21848739495798319</v>
      </c>
      <c r="DA196" s="24">
        <f t="shared" ca="1" si="228"/>
        <v>-0.41269841269841273</v>
      </c>
      <c r="DB196" s="24">
        <f t="shared" ca="1" si="229"/>
        <v>-0.74285714285714288</v>
      </c>
      <c r="DC196" s="24">
        <f t="shared" ca="1" si="230"/>
        <v>-1.2380952380952381</v>
      </c>
      <c r="DD196" s="24">
        <f t="shared" ca="1" si="231"/>
        <v>-1.8571428571428572</v>
      </c>
      <c r="DF196" s="19" cm="1">
        <f t="array" aca="1" ref="DF196" ca="1">MAX(_xlfn._xlws.FILTER(CQ196:DD196,CQ196:DD196&lt;BJ196))</f>
        <v>-5.7142857142857148E-2</v>
      </c>
      <c r="DG196" s="19" cm="1">
        <f t="array" aca="1" ref="DG196" ca="1">MIN(_xlfn._xlws.FILTER(CQ196:DD196,CQ196:DD196&gt;BJ196))</f>
        <v>5.7142857142857148E-2</v>
      </c>
      <c r="DH196" s="2" cm="1">
        <f t="array" aca="1" ref="DH196" ca="1">_FV(EE196,"Fechamento anterior",TRUE)</f>
        <v>0.28999999999999998</v>
      </c>
      <c r="DI196" s="36">
        <f t="shared" ca="1" si="174"/>
        <v>0.80172413793103481</v>
      </c>
      <c r="DJ196" s="18">
        <f t="shared" ca="1" si="232"/>
        <v>0.27342857142857141</v>
      </c>
      <c r="DK196" s="18">
        <f t="shared" ca="1" si="233"/>
        <v>0.30657142857142855</v>
      </c>
      <c r="DL196" s="9"/>
      <c r="DM196" s="9"/>
      <c r="DN196" s="9"/>
      <c r="DO196" s="9"/>
      <c r="DP196" s="79">
        <v>2.7841439606145491E-2</v>
      </c>
      <c r="DQ196" s="79">
        <v>9.2307692307692285E-2</v>
      </c>
      <c r="DR196" s="79">
        <v>4.4755244755244741E-2</v>
      </c>
      <c r="DS196" s="79">
        <f t="shared" ca="1" si="175"/>
        <v>0.1142857142857143</v>
      </c>
      <c r="DT196" s="47"/>
      <c r="DU196" s="43">
        <f t="shared" si="176"/>
        <v>0.11157956802210681</v>
      </c>
      <c r="DV196" s="83">
        <f t="shared" ca="1" si="177"/>
        <v>2.1282999999999999</v>
      </c>
      <c r="DW196" s="83">
        <f t="shared" ca="1" si="178"/>
        <v>-1.7461000000000002</v>
      </c>
      <c r="DX196" s="83">
        <f t="shared" ca="1" si="234"/>
        <v>3.8744000000000001</v>
      </c>
      <c r="DY196" s="67"/>
      <c r="DZ196" s="67"/>
      <c r="EA196" s="85"/>
      <c r="EB196" s="44">
        <v>2083800</v>
      </c>
      <c r="EC196" s="44" cm="1">
        <f t="array" aca="1" ref="EC196" ca="1">_FV(EE196,"Volume")</f>
        <v>1551300</v>
      </c>
      <c r="EE196" s="2" t="e" vm="198">
        <v>#VALUE!</v>
      </c>
      <c r="EG196" s="10" cm="1">
        <f t="array" aca="1" ref="EG196" ca="1">_FV(EE196,"Ações em circulação",TRUE)</f>
        <v>29691030</v>
      </c>
      <c r="EH196" s="21">
        <f>VLOOKUP(BH196,Fundamentus!A:U,5,FALSE)</f>
        <v>6.3E-2</v>
      </c>
      <c r="EI196" s="2">
        <f t="shared" ca="1" si="180"/>
        <v>141385857.14285713</v>
      </c>
      <c r="EJ196" s="20">
        <v>-427589006.18142861</v>
      </c>
      <c r="EK196" s="20">
        <f t="shared" ca="1" si="181"/>
        <v>-475098895.75714284</v>
      </c>
      <c r="EM196" s="40" t="str">
        <f>IF(VLOOKUP(BH196,Fundamentus!A:U,3,FALSE)&lt;15,"Bom",IF(VLOOKUP(BH196,Fundamentus!A:U,3,FALSE)&gt;15,"Ruim","n/a"))</f>
        <v>Bom</v>
      </c>
      <c r="EN196" s="36" t="str">
        <f>IF(VLOOKUP(BH196,Fundamentus!A:U,4,FALSE)&lt;1,"Baixo",IF(VLOOKUP(BH196,Fundamentus!A:U,4,FALSE)&lt;1.5,"Moderado",IF(VLOOKUP(BH196,Fundamentus!A:U,4,FALSE)&gt;1.5,"Alto","n/a")))</f>
        <v>Baixo</v>
      </c>
      <c r="EO196" s="20" t="str">
        <f>IF(VLOOKUP(BH196,Fundamentus!A:U,8,FALSE)&lt;0,"Risco elevado",IF(VLOOKUP(BH196,Fundamentus!A:U,8,FALSE)&lt;1,"Saudável",IF(VLOOKUP(BH196,Fundamentus!A:U,8,FALSE)&lt;3,"Estável",IF(VLOOKUP(BH196,Fundamentus!A:U,8,FALSE)&gt;3,"Alerta","n/a"))))</f>
        <v>Risco elevado</v>
      </c>
      <c r="EP196" s="36" t="str">
        <f t="shared" si="182"/>
        <v>Ruim</v>
      </c>
      <c r="EQ196" s="20" t="str">
        <f>IF(VLOOKUP(BH196,Fundamentus!A:U,12,FALSE)&lt;2,"Subvalorizada",IF(VLOOKUP(BH196,Fundamentus!A:U,12,FALSE)&lt;6,"Muita barata",IF(VLOOKUP(BH196,Fundamentus!A:U,12,FALSE)&lt;6,"Barata",IF(VLOOKUP(BH196,Fundamentus!A:U,12,FALSE)&lt;8,"Atrativa",IF(VLOOKUP(BH196,Fundamentus!A:U,12,FALSE)&gt;8,"Supervalorizada","n/a")))))</f>
        <v>Subvalorizada</v>
      </c>
      <c r="ES196" s="20" t="str">
        <f>IF(VLOOKUP(BH196,Fundamentus!A:U,17,FALSE)&lt;0.1,"Fraco retorno",IF(VLOOKUP(BH196,Fundamentus!A:U,17,FALSE)&gt;0.1,"Bom retorno","n/a"))</f>
        <v>Bom retorno</v>
      </c>
      <c r="ET196" s="20" t="str">
        <f>IF(VLOOKUP(BH196,Fundamentus!A:U,16,FALSE)&lt;0.1,"Ineficiente",IF(VLOOKUP(BH196,Fundamentus!A:U,16,FALSE)&gt;0.1,"Eficiente","n/a"))</f>
        <v>Ineficiente</v>
      </c>
      <c r="EU196" s="41" t="str">
        <f>IF(VLOOKUP(BH196,Fundamentus!A:U,16,FALSE)&lt;0.1,"Oper. Ineficiente",IF(VLOOKUP(BH196,Fundamentus!A:U,16,FALSE)&gt;0.1,"Oper.Eficiente","n/a"))</f>
        <v>Oper. Ineficiente</v>
      </c>
      <c r="EV196" s="42">
        <f>VLOOKUP(BH196,Fundamentus!A:U,14,FALSE)</f>
        <v>-3.3603000000000001</v>
      </c>
      <c r="EW196" s="20" t="str">
        <f>IF(VLOOKUP(BH196,Fundamentus!A:U,21,FALSE)&lt;0,"Negativo",IF(VLOOKUP(BH196,Fundamentus!A:U,21,FALSE)&lt;0.05,"Fraco",IF(VLOOKUP(BH196,Fundamentus!A:U,21,FALSE)&lt;0.1,"Bom",IF(VLOOKUP(BH196,Fundamentus!A:U,21,FALSE)&gt;0.1,"Muito bom","n/a"))))</f>
        <v>Negativo</v>
      </c>
      <c r="EY196" s="37" t="str">
        <f>IF(VLOOKUP(BH196,Fundamentus!A:U,15,FALSE)&gt;1,"Bom",IF(VLOOKUP(BH196,Fundamentus!A:U,15,FALSE)&lt;1,"Ruim","n/a"))</f>
        <v>Ruim</v>
      </c>
      <c r="EZ196" s="20" t="str">
        <f>IF(VLOOKUP(BH196,Fundamentus!A:U,20,FALSE)&lt;0.5,"Baixa",IF(VLOOKUP(BH196,Fundamentus!A:U,20,FALSE)&lt;1,"Moderada",IF(VLOOKUP(BH196,Fundamentus!A:U,20,FALSE)&lt;2,"Alerta",IF(VLOOKUP(BH196,Fundamentus!A:U,20,FALSE)&gt;2,"Alta","n/a"))))</f>
        <v>Baixa</v>
      </c>
      <c r="FA196" s="10"/>
    </row>
    <row r="197" spans="1:157" s="2" customFormat="1" ht="11.25" hidden="1" x14ac:dyDescent="0.2">
      <c r="A197" s="4">
        <v>35.51</v>
      </c>
      <c r="B197" s="4">
        <v>37.15</v>
      </c>
      <c r="C197" s="4">
        <v>33.97</v>
      </c>
      <c r="D197" s="4">
        <v>33.299999999999997</v>
      </c>
      <c r="E197" s="4">
        <v>32.1</v>
      </c>
      <c r="F197" s="4">
        <v>34</v>
      </c>
      <c r="G197" s="4">
        <v>30.74</v>
      </c>
      <c r="H197" s="4">
        <v>29.9</v>
      </c>
      <c r="I197" s="4">
        <v>30.6</v>
      </c>
      <c r="J197" s="4">
        <v>30</v>
      </c>
      <c r="K197" s="4">
        <v>30.75</v>
      </c>
      <c r="L197" s="4">
        <v>30.37</v>
      </c>
      <c r="M197" s="4">
        <v>30.4</v>
      </c>
      <c r="N197" s="4">
        <v>31.4</v>
      </c>
      <c r="O197" s="4">
        <v>31.9</v>
      </c>
      <c r="P197" s="4">
        <v>31.39</v>
      </c>
      <c r="Q197" s="4">
        <v>31.77</v>
      </c>
      <c r="R197" s="4">
        <v>32.299999999999997</v>
      </c>
      <c r="S197" s="4">
        <v>30.8</v>
      </c>
      <c r="T197" s="4">
        <v>29.45</v>
      </c>
      <c r="U197" s="4">
        <v>29.03</v>
      </c>
      <c r="V197" s="4">
        <v>28.25</v>
      </c>
      <c r="W197" s="4">
        <v>27.33</v>
      </c>
      <c r="X197" s="4">
        <v>26.45</v>
      </c>
      <c r="Y197" s="4">
        <v>26.99</v>
      </c>
      <c r="Z197" s="4">
        <v>27.65</v>
      </c>
      <c r="AA197" s="4">
        <v>26.2</v>
      </c>
      <c r="AB197" s="4">
        <v>27.06</v>
      </c>
      <c r="AC197" s="4">
        <v>26.55</v>
      </c>
      <c r="AD197" s="4">
        <v>25.7</v>
      </c>
      <c r="AE197" s="4">
        <v>25</v>
      </c>
      <c r="AF197" s="4">
        <v>23.77</v>
      </c>
      <c r="AG197" s="4">
        <v>24.11</v>
      </c>
      <c r="AH197" s="4">
        <v>23.91</v>
      </c>
      <c r="AI197" s="4">
        <v>24.46</v>
      </c>
      <c r="AJ197" s="4">
        <v>24.4</v>
      </c>
      <c r="AK197" s="4">
        <v>24.6</v>
      </c>
      <c r="AL197" s="4">
        <v>23.9</v>
      </c>
      <c r="AM197" s="4">
        <v>23.48</v>
      </c>
      <c r="AN197" s="4">
        <v>24.9</v>
      </c>
      <c r="AO197" s="4">
        <v>24.81</v>
      </c>
      <c r="AP197" s="4">
        <v>25.29</v>
      </c>
      <c r="AQ197" s="4">
        <v>25.71</v>
      </c>
      <c r="AR197" s="4">
        <v>25.64</v>
      </c>
      <c r="AS197" s="4">
        <v>24.75</v>
      </c>
      <c r="AT197" s="4">
        <v>24.02</v>
      </c>
      <c r="AU197" s="4">
        <v>24.215</v>
      </c>
      <c r="AV197" s="4">
        <v>24.5</v>
      </c>
      <c r="AW197" s="4">
        <v>24.37</v>
      </c>
      <c r="AX197" s="4">
        <v>24.84</v>
      </c>
      <c r="AY197" s="12">
        <v>25</v>
      </c>
      <c r="AZ197" s="12">
        <v>25.7</v>
      </c>
      <c r="BA197" s="12">
        <v>25.01</v>
      </c>
      <c r="BB197" s="18">
        <v>25.99</v>
      </c>
      <c r="BC197" s="63">
        <v>25.4</v>
      </c>
      <c r="BD197" s="63">
        <v>25.82</v>
      </c>
      <c r="BE197" s="63">
        <v>26.83</v>
      </c>
      <c r="BF197" s="63">
        <v>25.99</v>
      </c>
      <c r="BG197" s="91" cm="1">
        <f t="array" aca="1" ref="BG197" ca="1">_FV(EE197,"Preço")</f>
        <v>25.4</v>
      </c>
      <c r="BH197" s="93" t="s">
        <v>194</v>
      </c>
      <c r="BI197" s="32" cm="1">
        <f t="array" aca="1" ref="BI197" ca="1">_FV(EE197,"Beta")</f>
        <v>0.41199999999999998</v>
      </c>
      <c r="BJ197" s="96" cm="1">
        <f t="array" aca="1" ref="BJ197" ca="1">_FV(EE197,"Variação (%)",TRUE)</f>
        <v>-1.5885E-2</v>
      </c>
      <c r="BK197" s="49"/>
      <c r="BL197" s="49"/>
      <c r="BN197" s="32"/>
      <c r="BO197" s="20" cm="1">
        <f t="array" aca="1" ref="BO197" ca="1">_FV(EE197,"Baixo")</f>
        <v>25.4</v>
      </c>
      <c r="BP197" s="20" cm="1">
        <f t="array" aca="1" ref="BP197" ca="1">_FV(EE197,"Alto")</f>
        <v>26.2</v>
      </c>
      <c r="BQ197" s="32"/>
      <c r="BR197" s="74">
        <f ca="1">SQRT(22.5*(BG197/VLOOKUP(BH197,Fundamentus!A:U,3,FALSE))*(BG197/VLOOKUP(BH197,Fundamentus!A:U,4,FALSE)))</f>
        <v>82.792835642096222</v>
      </c>
      <c r="BT197" s="73">
        <f t="shared" ref="BT197:BT260" ca="1" si="235">(BG197 - BF197) / BF197</f>
        <v>-2.270103886110042E-2</v>
      </c>
      <c r="BU197" s="36">
        <f t="shared" ref="BU197:BU260" si="236">(BE197 - A197) / A197</f>
        <v>-0.24443818642635878</v>
      </c>
      <c r="BV197" s="8"/>
      <c r="BW197" s="72">
        <f t="shared" ref="BW197:BW260" si="237">MIN(A197:BF197)</f>
        <v>23.48</v>
      </c>
      <c r="BX197" s="72">
        <f t="shared" ref="BX197:BX260" si="238">AVERAGE(A197:BF197)</f>
        <v>27.679741379310343</v>
      </c>
      <c r="BY197" s="72">
        <f t="shared" ref="BY197:BY260" si="239">MAX(A197:BF197)</f>
        <v>37.15</v>
      </c>
      <c r="BZ197" s="17"/>
      <c r="CA197" s="17"/>
      <c r="CB197" s="43">
        <f t="shared" ref="CB197:CB260" si="240">CC197-DU197*2</f>
        <v>25.658329738667728</v>
      </c>
      <c r="CC197" s="18">
        <f t="shared" ref="CC197:CC260" si="241">FORECAST("13/06/2025", BC197:BF197, $BC$4:$BF$4)</f>
        <v>26.69804123711333</v>
      </c>
      <c r="CD197" s="43">
        <f t="shared" ref="CD197:CD260" si="242">CC197+DU197*2</f>
        <v>27.737752735558932</v>
      </c>
      <c r="CE197" s="98">
        <f t="shared" ref="CE197:CE260" ca="1" si="243">(BG197-CC197)/(CC197-CB197)</f>
        <v>-1.2484629044248714</v>
      </c>
      <c r="CF197" s="17"/>
      <c r="CG197" s="20">
        <f t="shared" ref="CG197:CG260" si="244">BW197-2*(BY197-CJ197)</f>
        <v>6.9266666666666659</v>
      </c>
      <c r="CH197" s="20">
        <f t="shared" ref="CH197:CH260" si="245">CJ197-(BY197-BW197)</f>
        <v>15.203333333333333</v>
      </c>
      <c r="CI197" s="20">
        <f t="shared" ref="CI197:CI260" si="246">2*CJ197-BY197</f>
        <v>20.596666666666664</v>
      </c>
      <c r="CJ197" s="49">
        <f t="shared" ref="CJ197:CJ260" si="247">(BY197+BW197+BF197)/3</f>
        <v>28.873333333333331</v>
      </c>
      <c r="CK197" s="20">
        <f t="shared" ref="CK197:CK260" si="248">2*CJ197-BW197</f>
        <v>34.266666666666666</v>
      </c>
      <c r="CL197" s="20">
        <f t="shared" ref="CL197:CL260" si="249">CJ197+(BY197-BW197)</f>
        <v>42.543333333333329</v>
      </c>
      <c r="CM197" s="20">
        <f t="shared" ref="CM197:CM260" si="250">BY197+2*(CJ197-BW197)</f>
        <v>47.93666666666666</v>
      </c>
      <c r="CN197" s="2" cm="1">
        <f t="array" aca="1" ref="CN197" ca="1">MAX(_xlfn._xlws.FILTER(CG197:CM197,CG197:CM197&lt;BG197))</f>
        <v>20.596666666666664</v>
      </c>
      <c r="CO197" s="2" cm="1">
        <f t="array" aca="1" ref="CO197" ca="1">MIN(_xlfn._xlws.FILTER($CG197:$CM197,$CG197:$CM197&gt;BG197))</f>
        <v>28.873333333333331</v>
      </c>
      <c r="CP197" s="19">
        <f t="shared" ca="1" si="217"/>
        <v>0.40184495873118631</v>
      </c>
      <c r="CQ197" s="23">
        <f t="shared" ca="1" si="218"/>
        <v>-0.20092247936559315</v>
      </c>
      <c r="CR197" s="23">
        <f t="shared" ca="1" si="219"/>
        <v>-0.1339483195770621</v>
      </c>
      <c r="CS197" s="23">
        <f t="shared" ca="1" si="220"/>
        <v>-8.0368991746237267E-2</v>
      </c>
      <c r="CT197" s="23">
        <f t="shared" ca="1" si="221"/>
        <v>-4.4649439859020701E-2</v>
      </c>
      <c r="CU197" s="23">
        <f t="shared" ca="1" si="222"/>
        <v>-2.3637938748893313E-2</v>
      </c>
      <c r="CV197" s="23">
        <f t="shared" ca="1" si="223"/>
        <v>-1.2177119961551101E-2</v>
      </c>
      <c r="CW197" s="23">
        <f t="shared" ca="1" si="224"/>
        <v>-6.1822301343259431E-3</v>
      </c>
      <c r="CX197" s="24">
        <f t="shared" ca="1" si="225"/>
        <v>6.1822301343259431E-3</v>
      </c>
      <c r="CY197" s="24">
        <f t="shared" ca="1" si="226"/>
        <v>1.2177119961551101E-2</v>
      </c>
      <c r="CZ197" s="24">
        <f t="shared" ca="1" si="227"/>
        <v>2.3637938748893313E-2</v>
      </c>
      <c r="DA197" s="24">
        <f t="shared" ca="1" si="228"/>
        <v>4.4649439859020701E-2</v>
      </c>
      <c r="DB197" s="24">
        <f t="shared" ca="1" si="229"/>
        <v>8.0368991746237267E-2</v>
      </c>
      <c r="DC197" s="24">
        <f t="shared" ca="1" si="230"/>
        <v>0.1339483195770621</v>
      </c>
      <c r="DD197" s="24">
        <f t="shared" ca="1" si="231"/>
        <v>0.20092247936559315</v>
      </c>
      <c r="DF197" s="19" cm="1">
        <f t="array" aca="1" ref="DF197" ca="1">MAX(_xlfn._xlws.FILTER(CQ197:DD197,CQ197:DD197&lt;BJ197))</f>
        <v>-2.3637938748893313E-2</v>
      </c>
      <c r="DG197" s="19" cm="1">
        <f t="array" aca="1" ref="DG197" ca="1">MIN(_xlfn._xlws.FILTER(CQ197:DD197,CQ197:DD197&gt;BJ197))</f>
        <v>-1.2177119961551101E-2</v>
      </c>
      <c r="DH197" s="2" cm="1">
        <f t="array" aca="1" ref="DH197" ca="1">_FV(EE197,"Fechamento anterior",TRUE)</f>
        <v>25.81</v>
      </c>
      <c r="DI197" s="36">
        <f t="shared" ref="DI197:DI260" ca="1" si="251">(BG197-DJ197)/(DK197-DJ197)</f>
        <v>0.67644582151267385</v>
      </c>
      <c r="DJ197" s="18">
        <f t="shared" ca="1" si="232"/>
        <v>25.199904800891062</v>
      </c>
      <c r="DK197" s="18">
        <f t="shared" ca="1" si="233"/>
        <v>25.495708533792364</v>
      </c>
      <c r="DL197" s="9"/>
      <c r="DM197" s="9"/>
      <c r="DN197" s="9"/>
      <c r="DO197" s="9"/>
      <c r="DP197" s="79">
        <v>6.9545304444633251E-3</v>
      </c>
      <c r="DQ197" s="79">
        <v>1.4343719041705607E-2</v>
      </c>
      <c r="DR197" s="79">
        <v>1.4343719041705607E-2</v>
      </c>
      <c r="DS197" s="79">
        <f t="shared" ref="DS197:DS260" ca="1" si="252">DG197-DF197</f>
        <v>1.1460818787342212E-2</v>
      </c>
      <c r="DT197" s="47"/>
      <c r="DU197" s="43">
        <f t="shared" ref="DU197:DU260" si="253">_xlfn.STDEV.P(BC197:BF197)</f>
        <v>0.51985574922280098</v>
      </c>
      <c r="DV197" s="83">
        <f t="shared" ref="DV197:DV260" ca="1" si="254">BI197-$DP$2</f>
        <v>0.83809999999999996</v>
      </c>
      <c r="DW197" s="83">
        <f t="shared" ref="DW197:DW260" ca="1" si="255">BI197-BJ197*100</f>
        <v>2.0005000000000002</v>
      </c>
      <c r="DX197" s="83">
        <f t="shared" ca="1" si="234"/>
        <v>-1.1624000000000003</v>
      </c>
      <c r="DY197" s="67"/>
      <c r="DZ197" s="67"/>
      <c r="EA197" s="85"/>
      <c r="EB197" s="44">
        <v>5000</v>
      </c>
      <c r="EC197" s="44" cm="1">
        <f t="array" aca="1" ref="EC197" ca="1">_FV(EE197,"Volume")</f>
        <v>5400</v>
      </c>
      <c r="EE197" s="2" t="e" vm="199">
        <v>#VALUE!</v>
      </c>
      <c r="EG197" s="10" cm="1">
        <f t="array" aca="1" ref="EG197" ca="1">_FV(EE197,"Ações em circulação",TRUE)</f>
        <v>77855300</v>
      </c>
      <c r="EH197" s="21">
        <f>VLOOKUP(BH197,Fundamentus!A:U,5,FALSE)</f>
        <v>0.23899999999999999</v>
      </c>
      <c r="EI197" s="2">
        <f t="shared" ref="EI197:EI260" ca="1" si="256">(BG197*EG197)/EH197</f>
        <v>8274161589.9581594</v>
      </c>
      <c r="EJ197" s="20">
        <v>372519694.00836813</v>
      </c>
      <c r="EK197" s="20">
        <f t="shared" ref="EK197:EK260" ca="1" si="257">EI197*EV197</f>
        <v>364063109.95815897</v>
      </c>
      <c r="EM197" s="40" t="str">
        <f>IF(VLOOKUP(BH197,Fundamentus!A:U,3,FALSE)&lt;15,"Bom",IF(VLOOKUP(BH197,Fundamentus!A:U,3,FALSE)&gt;15,"Ruim","n/a"))</f>
        <v>Bom</v>
      </c>
      <c r="EN197" s="36" t="str">
        <f>IF(VLOOKUP(BH197,Fundamentus!A:U,4,FALSE)&lt;1,"Baixo",IF(VLOOKUP(BH197,Fundamentus!A:U,4,FALSE)&lt;1.5,"Moderado",IF(VLOOKUP(BH197,Fundamentus!A:U,4,FALSE)&gt;1.5,"Alto","n/a")))</f>
        <v>Baixo</v>
      </c>
      <c r="EO197" s="20" t="str">
        <f>IF(VLOOKUP(BH197,Fundamentus!A:U,8,FALSE)&lt;0,"Risco elevado",IF(VLOOKUP(BH197,Fundamentus!A:U,8,FALSE)&lt;1,"Saudável",IF(VLOOKUP(BH197,Fundamentus!A:U,8,FALSE)&lt;3,"Estável",IF(VLOOKUP(BH197,Fundamentus!A:U,8,FALSE)&gt;3,"Alerta","n/a"))))</f>
        <v>Risco elevado</v>
      </c>
      <c r="EP197" s="36" t="str">
        <f t="shared" ref="EP197:EP260" si="258">IF(EH197&gt;1,"Bom","Ruim")</f>
        <v>Ruim</v>
      </c>
      <c r="EQ197" s="20" t="str">
        <f>IF(VLOOKUP(BH197,Fundamentus!A:U,12,FALSE)&lt;2,"Subvalorizada",IF(VLOOKUP(BH197,Fundamentus!A:U,12,FALSE)&lt;6,"Muita barata",IF(VLOOKUP(BH197,Fundamentus!A:U,12,FALSE)&lt;6,"Barata",IF(VLOOKUP(BH197,Fundamentus!A:U,12,FALSE)&lt;8,"Atrativa",IF(VLOOKUP(BH197,Fundamentus!A:U,12,FALSE)&gt;8,"Supervalorizada","n/a")))))</f>
        <v>Muita barata</v>
      </c>
      <c r="ES197" s="20" t="str">
        <f>IF(VLOOKUP(BH197,Fundamentus!A:U,17,FALSE)&lt;0.1,"Fraco retorno",IF(VLOOKUP(BH197,Fundamentus!A:U,17,FALSE)&gt;0.1,"Bom retorno","n/a"))</f>
        <v>Fraco retorno</v>
      </c>
      <c r="ET197" s="20" t="str">
        <f>IF(VLOOKUP(BH197,Fundamentus!A:U,16,FALSE)&lt;0.1,"Ineficiente",IF(VLOOKUP(BH197,Fundamentus!A:U,16,FALSE)&gt;0.1,"Eficiente","n/a"))</f>
        <v>Ineficiente</v>
      </c>
      <c r="EU197" s="41" t="str">
        <f>IF(VLOOKUP(BH197,Fundamentus!A:U,16,FALSE)&lt;0.1,"Oper. Ineficiente",IF(VLOOKUP(BH197,Fundamentus!A:U,16,FALSE)&gt;0.1,"Oper.Eficiente","n/a"))</f>
        <v>Oper. Ineficiente</v>
      </c>
      <c r="EV197" s="42">
        <f>VLOOKUP(BH197,Fundamentus!A:U,14,FALSE)</f>
        <v>4.3999999999999997E-2</v>
      </c>
      <c r="EW197" s="20" t="str">
        <f>IF(VLOOKUP(BH197,Fundamentus!A:U,21,FALSE)&lt;0,"Negativo",IF(VLOOKUP(BH197,Fundamentus!A:U,21,FALSE)&lt;0.05,"Fraco",IF(VLOOKUP(BH197,Fundamentus!A:U,21,FALSE)&lt;0.1,"Bom",IF(VLOOKUP(BH197,Fundamentus!A:U,21,FALSE)&gt;0.1,"Muito bom","n/a"))))</f>
        <v>Bom</v>
      </c>
      <c r="EY197" s="37" t="str">
        <f>IF(VLOOKUP(BH197,Fundamentus!A:U,15,FALSE)&gt;1,"Bom",IF(VLOOKUP(BH197,Fundamentus!A:U,15,FALSE)&lt;1,"Ruim","n/a"))</f>
        <v>Ruim</v>
      </c>
      <c r="EZ197" s="20" t="str">
        <f>IF(VLOOKUP(BH197,Fundamentus!A:U,20,FALSE)&lt;0.5,"Baixa",IF(VLOOKUP(BH197,Fundamentus!A:U,20,FALSE)&lt;1,"Moderada",IF(VLOOKUP(BH197,Fundamentus!A:U,20,FALSE)&lt;2,"Alerta",IF(VLOOKUP(BH197,Fundamentus!A:U,20,FALSE)&gt;2,"Alta","n/a"))))</f>
        <v>Alerta</v>
      </c>
      <c r="FA197" s="10"/>
    </row>
    <row r="198" spans="1:157" s="2" customFormat="1" ht="11.25" hidden="1" x14ac:dyDescent="0.2">
      <c r="A198" s="4">
        <v>12.02</v>
      </c>
      <c r="B198" s="4">
        <v>12.26</v>
      </c>
      <c r="C198" s="4">
        <v>10.36</v>
      </c>
      <c r="D198" s="4">
        <v>9.49</v>
      </c>
      <c r="E198" s="4">
        <v>9.6</v>
      </c>
      <c r="F198" s="4">
        <v>9.66</v>
      </c>
      <c r="G198" s="4">
        <v>9.58</v>
      </c>
      <c r="H198" s="4">
        <v>9.65</v>
      </c>
      <c r="I198" s="4">
        <v>9.36</v>
      </c>
      <c r="J198" s="4">
        <v>9.99</v>
      </c>
      <c r="K198" s="4">
        <v>10.54</v>
      </c>
      <c r="L198" s="4">
        <v>9.3000000000000007</v>
      </c>
      <c r="M198" s="4">
        <v>8.5299999999999994</v>
      </c>
      <c r="N198" s="4">
        <v>8.9600000000000009</v>
      </c>
      <c r="O198" s="4">
        <v>8.56</v>
      </c>
      <c r="P198" s="4">
        <v>9.15</v>
      </c>
      <c r="Q198" s="4">
        <v>10.34</v>
      </c>
      <c r="R198" s="4">
        <v>10.17</v>
      </c>
      <c r="S198" s="4">
        <v>10.220000000000001</v>
      </c>
      <c r="T198" s="4">
        <v>10.54</v>
      </c>
      <c r="U198" s="4">
        <v>10.34</v>
      </c>
      <c r="V198" s="4">
        <v>10.46</v>
      </c>
      <c r="W198" s="4">
        <v>9.9499999999999993</v>
      </c>
      <c r="X198" s="4">
        <v>11.02</v>
      </c>
      <c r="Y198" s="4">
        <v>11.73</v>
      </c>
      <c r="Z198" s="4">
        <v>12.91</v>
      </c>
      <c r="AA198" s="4">
        <v>12.72</v>
      </c>
      <c r="AB198" s="4">
        <v>12.8</v>
      </c>
      <c r="AC198" s="4">
        <v>11.55</v>
      </c>
      <c r="AD198" s="4">
        <v>12.45</v>
      </c>
      <c r="AE198" s="4">
        <v>10.57</v>
      </c>
      <c r="AF198" s="4">
        <v>10.06</v>
      </c>
      <c r="AG198" s="4">
        <v>9.91</v>
      </c>
      <c r="AH198" s="4">
        <v>9.17</v>
      </c>
      <c r="AI198" s="4">
        <v>8.4700000000000006</v>
      </c>
      <c r="AJ198" s="4">
        <v>7.44</v>
      </c>
      <c r="AK198" s="4">
        <v>7.72</v>
      </c>
      <c r="AL198" s="4">
        <v>7.99</v>
      </c>
      <c r="AM198" s="4">
        <v>8.7899999999999991</v>
      </c>
      <c r="AN198" s="4">
        <v>9.7899999999999991</v>
      </c>
      <c r="AO198" s="4">
        <v>9.65</v>
      </c>
      <c r="AP198" s="4">
        <v>10.3</v>
      </c>
      <c r="AQ198" s="4">
        <v>9.7899999999999991</v>
      </c>
      <c r="AR198" s="4">
        <v>9.8699999999999992</v>
      </c>
      <c r="AS198" s="4">
        <v>10.52</v>
      </c>
      <c r="AT198" s="4">
        <v>10.79</v>
      </c>
      <c r="AU198" s="4">
        <v>10.335000000000001</v>
      </c>
      <c r="AV198" s="4">
        <v>11.04</v>
      </c>
      <c r="AW198" s="4">
        <v>11.32</v>
      </c>
      <c r="AX198" s="4">
        <v>12.05</v>
      </c>
      <c r="AY198" s="12">
        <v>12.72</v>
      </c>
      <c r="AZ198" s="12">
        <v>13.42</v>
      </c>
      <c r="BA198" s="12">
        <v>13.31</v>
      </c>
      <c r="BB198" s="18">
        <v>14.6</v>
      </c>
      <c r="BC198" s="63">
        <v>16.5</v>
      </c>
      <c r="BD198" s="63">
        <v>17.059999999999999</v>
      </c>
      <c r="BE198" s="63">
        <v>17.829999999999998</v>
      </c>
      <c r="BF198" s="63">
        <v>17.100000000000001</v>
      </c>
      <c r="BG198" s="91" cm="1">
        <f t="array" aca="1" ref="BG198" ca="1">_FV(EE198,"Preço")</f>
        <v>16.649999999999999</v>
      </c>
      <c r="BH198" s="93" t="s">
        <v>195</v>
      </c>
      <c r="BI198" s="32" cm="1">
        <f t="array" aca="1" ref="BI198" ca="1">_FV(EE198,"Beta")</f>
        <v>1.9206000000000001</v>
      </c>
      <c r="BJ198" s="96" cm="1">
        <f t="array" aca="1" ref="BJ198" ca="1">_FV(EE198,"Variação (%)",TRUE)</f>
        <v>-4.3102999999999995E-2</v>
      </c>
      <c r="BK198" s="49"/>
      <c r="BL198" s="49"/>
      <c r="BN198" s="32"/>
      <c r="BO198" s="20" cm="1">
        <f t="array" aca="1" ref="BO198" ca="1">_FV(EE198,"Baixo")</f>
        <v>16.64</v>
      </c>
      <c r="BP198" s="20" cm="1">
        <f t="array" aca="1" ref="BP198" ca="1">_FV(EE198,"Alto")</f>
        <v>17.350000000000001</v>
      </c>
      <c r="BQ198" s="32"/>
      <c r="BR198" s="74">
        <f ca="1">SQRT(22.5*(BG198/VLOOKUP(BH198,Fundamentus!A:U,3,FALSE))*(BG198/VLOOKUP(BH198,Fundamentus!A:U,4,FALSE)))</f>
        <v>16.449978010141276</v>
      </c>
      <c r="BT198" s="73">
        <f t="shared" ca="1" si="235"/>
        <v>-2.6315789473684376E-2</v>
      </c>
      <c r="BU198" s="36">
        <f t="shared" si="236"/>
        <v>0.48336106489184683</v>
      </c>
      <c r="BV198" s="8"/>
      <c r="BW198" s="72">
        <f t="shared" si="237"/>
        <v>7.44</v>
      </c>
      <c r="BX198" s="72">
        <f t="shared" si="238"/>
        <v>10.902155172413796</v>
      </c>
      <c r="BY198" s="72">
        <f t="shared" si="239"/>
        <v>17.829999999999998</v>
      </c>
      <c r="BZ198" s="17"/>
      <c r="CA198" s="17"/>
      <c r="CB198" s="43">
        <f t="shared" si="240"/>
        <v>16.817755904844226</v>
      </c>
      <c r="CC198" s="18">
        <f t="shared" si="241"/>
        <v>17.762464854733025</v>
      </c>
      <c r="CD198" s="43">
        <f t="shared" si="242"/>
        <v>18.707173804621824</v>
      </c>
      <c r="CE198" s="98">
        <f t="shared" ca="1" si="243"/>
        <v>-1.177574167010881</v>
      </c>
      <c r="CF198" s="17"/>
      <c r="CG198" s="20">
        <f t="shared" si="244"/>
        <v>2.66666666666735E-2</v>
      </c>
      <c r="CH198" s="20">
        <f t="shared" si="245"/>
        <v>3.7333333333333378</v>
      </c>
      <c r="CI198" s="20">
        <f t="shared" si="246"/>
        <v>10.416666666666671</v>
      </c>
      <c r="CJ198" s="49">
        <f t="shared" si="247"/>
        <v>14.123333333333335</v>
      </c>
      <c r="CK198" s="20">
        <f t="shared" si="248"/>
        <v>20.806666666666668</v>
      </c>
      <c r="CL198" s="20">
        <f t="shared" si="249"/>
        <v>24.513333333333332</v>
      </c>
      <c r="CM198" s="20">
        <f t="shared" si="250"/>
        <v>31.196666666666665</v>
      </c>
      <c r="CN198" s="2" cm="1">
        <f t="array" aca="1" ref="CN198" ca="1">MAX(_xlfn._xlws.FILTER(CG198:CM198,CG198:CM198&lt;BG198))</f>
        <v>14.123333333333335</v>
      </c>
      <c r="CO198" s="2" cm="1">
        <f t="array" aca="1" ref="CO198" ca="1">MIN(_xlfn._xlws.FILTER($CG198:$CM198,$CG198:$CM198&gt;BG198))</f>
        <v>20.806666666666668</v>
      </c>
      <c r="CP198" s="19">
        <f t="shared" ca="1" si="217"/>
        <v>0.47321217842813312</v>
      </c>
      <c r="CQ198" s="23">
        <f t="shared" ca="1" si="218"/>
        <v>-0.23660608921406656</v>
      </c>
      <c r="CR198" s="23">
        <f t="shared" ca="1" si="219"/>
        <v>-0.15773739280937771</v>
      </c>
      <c r="CS198" s="23">
        <f t="shared" ca="1" si="220"/>
        <v>-9.4642435685626622E-2</v>
      </c>
      <c r="CT198" s="23">
        <f t="shared" ca="1" si="221"/>
        <v>-5.2579130936459238E-2</v>
      </c>
      <c r="CU198" s="23">
        <f t="shared" ca="1" si="222"/>
        <v>-2.7836010495772535E-2</v>
      </c>
      <c r="CV198" s="23">
        <f t="shared" ca="1" si="223"/>
        <v>-1.4339762982670701E-2</v>
      </c>
      <c r="CW198" s="23">
        <f t="shared" ca="1" si="224"/>
        <v>-7.2801873604328169E-3</v>
      </c>
      <c r="CX198" s="24">
        <f t="shared" ca="1" si="225"/>
        <v>7.2801873604328169E-3</v>
      </c>
      <c r="CY198" s="24">
        <f t="shared" ca="1" si="226"/>
        <v>1.4339762982670701E-2</v>
      </c>
      <c r="CZ198" s="24">
        <f t="shared" ca="1" si="227"/>
        <v>2.7836010495772535E-2</v>
      </c>
      <c r="DA198" s="24">
        <f t="shared" ca="1" si="228"/>
        <v>5.2579130936459238E-2</v>
      </c>
      <c r="DB198" s="24">
        <f t="shared" ca="1" si="229"/>
        <v>9.4642435685626622E-2</v>
      </c>
      <c r="DC198" s="24">
        <f t="shared" ca="1" si="230"/>
        <v>0.15773739280937771</v>
      </c>
      <c r="DD198" s="24">
        <f t="shared" ca="1" si="231"/>
        <v>0.23660608921406656</v>
      </c>
      <c r="DF198" s="19" cm="1">
        <f t="array" aca="1" ref="DF198" ca="1">MAX(_xlfn._xlws.FILTER(CQ198:DD198,CQ198:DD198&lt;BJ198))</f>
        <v>-5.2579130936459238E-2</v>
      </c>
      <c r="DG198" s="19" cm="1">
        <f t="array" aca="1" ref="DG198" ca="1">MIN(_xlfn._xlws.FILTER(CQ198:DD198,CQ198:DD198&gt;BJ198))</f>
        <v>-2.7836010495772535E-2</v>
      </c>
      <c r="DH198" s="2" cm="1">
        <f t="array" aca="1" ref="DH198" ca="1">_FV(EE198,"Fechamento anterior",TRUE)</f>
        <v>17.399999999999999</v>
      </c>
      <c r="DI198" s="36">
        <f t="shared" ca="1" si="251"/>
        <v>0.38296231404247977</v>
      </c>
      <c r="DJ198" s="18">
        <f t="shared" ca="1" si="232"/>
        <v>16.485123121705609</v>
      </c>
      <c r="DK198" s="18">
        <f t="shared" ca="1" si="233"/>
        <v>16.915653417373555</v>
      </c>
      <c r="DL198" s="9"/>
      <c r="DM198" s="9"/>
      <c r="DN198" s="9"/>
      <c r="DO198" s="9"/>
      <c r="DP198" s="79">
        <v>1.9833220644579666E-2</v>
      </c>
      <c r="DQ198" s="79">
        <v>4.6245373455476779E-3</v>
      </c>
      <c r="DR198" s="79">
        <v>1.1449500446708338E-2</v>
      </c>
      <c r="DS198" s="79">
        <f t="shared" ca="1" si="252"/>
        <v>2.4743120440686703E-2</v>
      </c>
      <c r="DT198" s="47"/>
      <c r="DU198" s="43">
        <f t="shared" si="253"/>
        <v>0.47235447494439958</v>
      </c>
      <c r="DV198" s="83">
        <f t="shared" ca="1" si="254"/>
        <v>2.3467000000000002</v>
      </c>
      <c r="DW198" s="83">
        <f t="shared" ca="1" si="255"/>
        <v>6.2309000000000001</v>
      </c>
      <c r="DX198" s="83">
        <f t="shared" ca="1" si="234"/>
        <v>-3.8841999999999999</v>
      </c>
      <c r="DY198" s="67"/>
      <c r="DZ198" s="67"/>
      <c r="EA198" s="85"/>
      <c r="EB198" s="44">
        <v>3087300</v>
      </c>
      <c r="EC198" s="44" cm="1">
        <f t="array" aca="1" ref="EC198" ca="1">_FV(EE198,"Volume")</f>
        <v>2866200</v>
      </c>
      <c r="EE198" s="2" t="e" vm="200">
        <v>#VALUE!</v>
      </c>
      <c r="EG198" s="10" cm="1">
        <f t="array" aca="1" ref="EG198" ca="1">_FV(EE198,"Ações em circulação",TRUE)</f>
        <v>308245100</v>
      </c>
      <c r="EH198" s="21">
        <f>VLOOKUP(BH198,Fundamentus!A:U,5,FALSE)</f>
        <v>0.69099999999999995</v>
      </c>
      <c r="EI198" s="2">
        <f t="shared" ca="1" si="256"/>
        <v>7427324044.8625183</v>
      </c>
      <c r="EJ198" s="20">
        <v>377589095.36179453</v>
      </c>
      <c r="EK198" s="20">
        <f t="shared" ca="1" si="257"/>
        <v>367652540.22069466</v>
      </c>
      <c r="EM198" s="40" t="str">
        <f>IF(VLOOKUP(BH198,Fundamentus!A:U,3,FALSE)&lt;15,"Bom",IF(VLOOKUP(BH198,Fundamentus!A:U,3,FALSE)&gt;15,"Ruim","n/a"))</f>
        <v>Bom</v>
      </c>
      <c r="EN198" s="36" t="str">
        <f>IF(VLOOKUP(BH198,Fundamentus!A:U,4,FALSE)&lt;1,"Baixo",IF(VLOOKUP(BH198,Fundamentus!A:U,4,FALSE)&lt;1.5,"Moderado",IF(VLOOKUP(BH198,Fundamentus!A:U,4,FALSE)&gt;1.5,"Alto","n/a")))</f>
        <v>Alto</v>
      </c>
      <c r="EO198" s="20" t="str">
        <f>IF(VLOOKUP(BH198,Fundamentus!A:U,8,FALSE)&lt;0,"Risco elevado",IF(VLOOKUP(BH198,Fundamentus!A:U,8,FALSE)&lt;1,"Saudável",IF(VLOOKUP(BH198,Fundamentus!A:U,8,FALSE)&lt;3,"Estável",IF(VLOOKUP(BH198,Fundamentus!A:U,8,FALSE)&gt;3,"Alerta","n/a"))))</f>
        <v>Alerta</v>
      </c>
      <c r="EP198" s="36" t="str">
        <f t="shared" si="258"/>
        <v>Ruim</v>
      </c>
      <c r="EQ198" s="20" t="str">
        <f>IF(VLOOKUP(BH198,Fundamentus!A:U,12,FALSE)&lt;2,"Subvalorizada",IF(VLOOKUP(BH198,Fundamentus!A:U,12,FALSE)&lt;6,"Muita barata",IF(VLOOKUP(BH198,Fundamentus!A:U,12,FALSE)&lt;6,"Barata",IF(VLOOKUP(BH198,Fundamentus!A:U,12,FALSE)&lt;8,"Atrativa",IF(VLOOKUP(BH198,Fundamentus!A:U,12,FALSE)&gt;8,"Supervalorizada","n/a")))))</f>
        <v>Muita barata</v>
      </c>
      <c r="ES198" s="20" t="str">
        <f>IF(VLOOKUP(BH198,Fundamentus!A:U,17,FALSE)&lt;0.1,"Fraco retorno",IF(VLOOKUP(BH198,Fundamentus!A:U,17,FALSE)&gt;0.1,"Bom retorno","n/a"))</f>
        <v>Bom retorno</v>
      </c>
      <c r="ET198" s="20" t="str">
        <f>IF(VLOOKUP(BH198,Fundamentus!A:U,16,FALSE)&lt;0.1,"Ineficiente",IF(VLOOKUP(BH198,Fundamentus!A:U,16,FALSE)&gt;0.1,"Eficiente","n/a"))</f>
        <v>Eficiente</v>
      </c>
      <c r="EU198" s="41" t="str">
        <f>IF(VLOOKUP(BH198,Fundamentus!A:U,16,FALSE)&lt;0.1,"Oper. Ineficiente",IF(VLOOKUP(BH198,Fundamentus!A:U,16,FALSE)&gt;0.1,"Oper.Eficiente","n/a"))</f>
        <v>Oper.Eficiente</v>
      </c>
      <c r="EV198" s="42">
        <f>VLOOKUP(BH198,Fundamentus!A:U,14,FALSE)</f>
        <v>4.9500000000000002E-2</v>
      </c>
      <c r="EW198" s="20" t="str">
        <f>IF(VLOOKUP(BH198,Fundamentus!A:U,21,FALSE)&lt;0,"Negativo",IF(VLOOKUP(BH198,Fundamentus!A:U,21,FALSE)&lt;0.05,"Fraco",IF(VLOOKUP(BH198,Fundamentus!A:U,21,FALSE)&lt;0.1,"Bom",IF(VLOOKUP(BH198,Fundamentus!A:U,21,FALSE)&gt;0.1,"Muito bom","n/a"))))</f>
        <v>Muito bom</v>
      </c>
      <c r="EY198" s="37" t="str">
        <f>IF(VLOOKUP(BH198,Fundamentus!A:U,15,FALSE)&gt;1,"Bom",IF(VLOOKUP(BH198,Fundamentus!A:U,15,FALSE)&lt;1,"Ruim","n/a"))</f>
        <v>Bom</v>
      </c>
      <c r="EZ198" s="20" t="str">
        <f>IF(VLOOKUP(BH198,Fundamentus!A:U,20,FALSE)&lt;0.5,"Baixa",IF(VLOOKUP(BH198,Fundamentus!A:U,20,FALSE)&lt;1,"Moderada",IF(VLOOKUP(BH198,Fundamentus!A:U,20,FALSE)&lt;2,"Alerta",IF(VLOOKUP(BH198,Fundamentus!A:U,20,FALSE)&gt;2,"Alta","n/a"))))</f>
        <v>Baixa</v>
      </c>
      <c r="FA198" s="10"/>
    </row>
    <row r="199" spans="1:157" s="2" customFormat="1" ht="11.25" hidden="1" x14ac:dyDescent="0.2">
      <c r="A199" s="4">
        <v>10.65</v>
      </c>
      <c r="B199" s="4">
        <v>10.9</v>
      </c>
      <c r="C199" s="4">
        <v>8.99</v>
      </c>
      <c r="D199" s="4">
        <v>8.52</v>
      </c>
      <c r="E199" s="4">
        <v>8.08</v>
      </c>
      <c r="F199" s="4">
        <v>9.08</v>
      </c>
      <c r="G199" s="4">
        <v>8.4</v>
      </c>
      <c r="H199" s="4">
        <v>9.5299999999999994</v>
      </c>
      <c r="I199" s="4">
        <v>12.76</v>
      </c>
      <c r="J199" s="4">
        <v>19</v>
      </c>
      <c r="K199" s="4">
        <v>21</v>
      </c>
      <c r="L199" s="4">
        <v>27.12</v>
      </c>
      <c r="M199" s="4">
        <v>43.87</v>
      </c>
      <c r="N199" s="4">
        <v>66.900000000000006</v>
      </c>
      <c r="O199" s="4">
        <v>97.35</v>
      </c>
      <c r="P199" s="4">
        <v>76.5</v>
      </c>
      <c r="Q199" s="4">
        <v>88.22</v>
      </c>
      <c r="R199" s="4">
        <v>71.260000000000005</v>
      </c>
      <c r="S199" s="4">
        <v>65.89</v>
      </c>
      <c r="T199" s="4">
        <v>67.5</v>
      </c>
      <c r="U199" s="4">
        <v>75</v>
      </c>
      <c r="V199" s="4">
        <v>134.5</v>
      </c>
      <c r="W199" s="4">
        <v>135</v>
      </c>
      <c r="X199" s="4">
        <v>133.01</v>
      </c>
      <c r="Y199" s="4">
        <v>135.21</v>
      </c>
      <c r="Z199" s="4">
        <v>131.55000000000001</v>
      </c>
      <c r="AA199" s="4">
        <v>126.8</v>
      </c>
      <c r="AB199" s="4">
        <v>158</v>
      </c>
      <c r="AC199" s="4">
        <v>168.31</v>
      </c>
      <c r="AD199" s="4">
        <v>170</v>
      </c>
      <c r="AE199" s="4">
        <v>160.99</v>
      </c>
      <c r="AF199" s="4">
        <v>146.61000000000001</v>
      </c>
      <c r="AG199" s="4">
        <v>268.51</v>
      </c>
      <c r="AH199" s="4">
        <v>140</v>
      </c>
      <c r="AI199" s="4">
        <v>134.96</v>
      </c>
      <c r="AJ199" s="4">
        <v>118.87</v>
      </c>
      <c r="AK199" s="4">
        <v>120.25</v>
      </c>
      <c r="AL199" s="4">
        <v>124.3</v>
      </c>
      <c r="AM199" s="4">
        <v>120.32</v>
      </c>
      <c r="AN199" s="4">
        <v>131.54</v>
      </c>
      <c r="AO199" s="4">
        <v>121.33</v>
      </c>
      <c r="AP199" s="4">
        <v>122.04</v>
      </c>
      <c r="AQ199" s="4">
        <v>120.6</v>
      </c>
      <c r="AR199" s="4">
        <v>125.17</v>
      </c>
      <c r="AS199" s="4">
        <v>132.88</v>
      </c>
      <c r="AT199" s="4">
        <v>130.44</v>
      </c>
      <c r="AU199" s="4">
        <v>123.005</v>
      </c>
      <c r="AV199" s="4">
        <v>120.1</v>
      </c>
      <c r="AW199" s="4">
        <v>123.68</v>
      </c>
      <c r="AX199" s="4">
        <v>127.94</v>
      </c>
      <c r="AY199" s="12">
        <v>135.25</v>
      </c>
      <c r="AZ199" s="12">
        <v>141.75</v>
      </c>
      <c r="BA199" s="12">
        <v>122</v>
      </c>
      <c r="BB199" s="18">
        <v>120.01</v>
      </c>
      <c r="BC199" s="63">
        <v>125.01</v>
      </c>
      <c r="BD199" s="63">
        <v>130.66999999999999</v>
      </c>
      <c r="BE199" s="63">
        <v>192</v>
      </c>
      <c r="BF199" s="63">
        <v>178.01</v>
      </c>
      <c r="BG199" s="91" cm="1">
        <f t="array" aca="1" ref="BG199" ca="1">_FV(EE199,"Preço")</f>
        <v>169.82</v>
      </c>
      <c r="BH199" s="93" t="s">
        <v>196</v>
      </c>
      <c r="BI199" s="32" cm="1">
        <f t="array" aca="1" ref="BI199" ca="1">_FV(EE199,"Beta")</f>
        <v>1.5419</v>
      </c>
      <c r="BJ199" s="96" cm="1">
        <f t="array" aca="1" ref="BJ199" ca="1">_FV(EE199,"Variação (%)",TRUE)</f>
        <v>-4.0564999999999997E-2</v>
      </c>
      <c r="BK199" s="49"/>
      <c r="BL199" s="49"/>
      <c r="BN199" s="32"/>
      <c r="BO199" s="20" cm="1">
        <f t="array" aca="1" ref="BO199" ca="1">_FV(EE199,"Baixo")</f>
        <v>169.81</v>
      </c>
      <c r="BP199" s="20" cm="1">
        <f t="array" aca="1" ref="BP199" ca="1">_FV(EE199,"Alto")</f>
        <v>183.2</v>
      </c>
      <c r="BQ199" s="32"/>
      <c r="BR199" s="74" t="e">
        <f ca="1">SQRT(22.5*(BG199/VLOOKUP(BH199,Fundamentus!A:U,3,FALSE))*(BG199/VLOOKUP(BH199,Fundamentus!A:U,4,FALSE)))</f>
        <v>#NUM!</v>
      </c>
      <c r="BT199" s="73">
        <f t="shared" ca="1" si="235"/>
        <v>-4.6008651199370809E-2</v>
      </c>
      <c r="BU199" s="36">
        <f t="shared" si="236"/>
        <v>17.028169014084504</v>
      </c>
      <c r="BV199" s="8"/>
      <c r="BW199" s="72">
        <f t="shared" si="237"/>
        <v>8.08</v>
      </c>
      <c r="BX199" s="72">
        <f t="shared" si="238"/>
        <v>102.70922413793105</v>
      </c>
      <c r="BY199" s="72">
        <f t="shared" si="239"/>
        <v>268.51</v>
      </c>
      <c r="BZ199" s="17"/>
      <c r="CA199" s="17"/>
      <c r="CB199" s="43">
        <f t="shared" si="240"/>
        <v>151.67419476523409</v>
      </c>
      <c r="CC199" s="18">
        <f t="shared" si="241"/>
        <v>209.82671040299465</v>
      </c>
      <c r="CD199" s="43">
        <f t="shared" si="242"/>
        <v>267.97922604075518</v>
      </c>
      <c r="CE199" s="98">
        <f t="shared" ca="1" si="243"/>
        <v>-0.68796181840527004</v>
      </c>
      <c r="CF199" s="17"/>
      <c r="CG199" s="20">
        <f t="shared" si="244"/>
        <v>-225.87333333333331</v>
      </c>
      <c r="CH199" s="20">
        <f t="shared" si="245"/>
        <v>-108.89666666666668</v>
      </c>
      <c r="CI199" s="20">
        <f t="shared" si="246"/>
        <v>34.556666666666672</v>
      </c>
      <c r="CJ199" s="49">
        <f t="shared" si="247"/>
        <v>151.53333333333333</v>
      </c>
      <c r="CK199" s="20">
        <f t="shared" si="248"/>
        <v>294.98666666666668</v>
      </c>
      <c r="CL199" s="20">
        <f t="shared" si="249"/>
        <v>411.96333333333337</v>
      </c>
      <c r="CM199" s="20">
        <f t="shared" si="250"/>
        <v>555.41666666666663</v>
      </c>
      <c r="CN199" s="2" cm="1">
        <f t="array" aca="1" ref="CN199" ca="1">MAX(_xlfn._xlws.FILTER(CG199:CM199,CG199:CM199&lt;BG199))</f>
        <v>151.53333333333333</v>
      </c>
      <c r="CO199" s="2" cm="1">
        <f t="array" aca="1" ref="CO199" ca="1">MIN(_xlfn._xlws.FILTER($CG199:$CM199,$CG199:$CM199&gt;BG199))</f>
        <v>294.98666666666668</v>
      </c>
      <c r="CP199" s="19">
        <f t="shared" ca="1" si="217"/>
        <v>0.94667839859216896</v>
      </c>
      <c r="CQ199" s="23">
        <f t="shared" ca="1" si="218"/>
        <v>-0.47333919929608448</v>
      </c>
      <c r="CR199" s="23">
        <f t="shared" ca="1" si="219"/>
        <v>-0.31555946619738967</v>
      </c>
      <c r="CS199" s="23">
        <f t="shared" ca="1" si="220"/>
        <v>-0.18933567971843379</v>
      </c>
      <c r="CT199" s="23">
        <f t="shared" ca="1" si="221"/>
        <v>-0.10518648873246322</v>
      </c>
      <c r="CU199" s="23">
        <f t="shared" ca="1" si="222"/>
        <v>-5.5686964623068762E-2</v>
      </c>
      <c r="CV199" s="23">
        <f t="shared" ca="1" si="223"/>
        <v>-2.8687224199762697E-2</v>
      </c>
      <c r="CW199" s="23">
        <f t="shared" ca="1" si="224"/>
        <v>-1.4564283055264138E-2</v>
      </c>
      <c r="CX199" s="24">
        <f t="shared" ca="1" si="225"/>
        <v>1.4564283055264138E-2</v>
      </c>
      <c r="CY199" s="24">
        <f t="shared" ca="1" si="226"/>
        <v>2.8687224199762697E-2</v>
      </c>
      <c r="CZ199" s="24">
        <f t="shared" ca="1" si="227"/>
        <v>5.5686964623068762E-2</v>
      </c>
      <c r="DA199" s="24">
        <f t="shared" ca="1" si="228"/>
        <v>0.10518648873246322</v>
      </c>
      <c r="DB199" s="24">
        <f t="shared" ca="1" si="229"/>
        <v>0.18933567971843379</v>
      </c>
      <c r="DC199" s="24">
        <f t="shared" ca="1" si="230"/>
        <v>0.31555946619738967</v>
      </c>
      <c r="DD199" s="24">
        <f t="shared" ca="1" si="231"/>
        <v>0.47333919929608448</v>
      </c>
      <c r="DF199" s="19" cm="1">
        <f t="array" aca="1" ref="DF199" ca="1">MAX(_xlfn._xlws.FILTER(CQ199:DD199,CQ199:DD199&lt;BJ199))</f>
        <v>-5.5686964623068762E-2</v>
      </c>
      <c r="DG199" s="19" cm="1">
        <f t="array" aca="1" ref="DG199" ca="1">MIN(_xlfn._xlws.FILTER(CQ199:DD199,CQ199:DD199&gt;BJ199))</f>
        <v>-2.8687224199762697E-2</v>
      </c>
      <c r="DH199" s="2" cm="1">
        <f t="array" aca="1" ref="DH199" ca="1">_FV(EE199,"Fechamento anterior",TRUE)</f>
        <v>177</v>
      </c>
      <c r="DI199" s="36">
        <f t="shared" ca="1" si="251"/>
        <v>0.56007919463563072</v>
      </c>
      <c r="DJ199" s="18">
        <f t="shared" ca="1" si="232"/>
        <v>167.14340726171682</v>
      </c>
      <c r="DK199" s="18">
        <f t="shared" ca="1" si="233"/>
        <v>171.922361316642</v>
      </c>
      <c r="DL199" s="9"/>
      <c r="DM199" s="9"/>
      <c r="DN199" s="9"/>
      <c r="DO199" s="9"/>
      <c r="DP199" s="79">
        <v>2.8172635051899774E-2</v>
      </c>
      <c r="DQ199" s="79">
        <v>8.3727504765597274E-2</v>
      </c>
      <c r="DR199" s="79">
        <v>2.6113672418873229E-2</v>
      </c>
      <c r="DS199" s="79">
        <f t="shared" ca="1" si="252"/>
        <v>2.6999740423306065E-2</v>
      </c>
      <c r="DT199" s="47"/>
      <c r="DU199" s="43">
        <f t="shared" si="253"/>
        <v>29.076257818880276</v>
      </c>
      <c r="DV199" s="83">
        <f t="shared" ca="1" si="254"/>
        <v>1.968</v>
      </c>
      <c r="DW199" s="83">
        <f t="shared" ca="1" si="255"/>
        <v>5.5983999999999998</v>
      </c>
      <c r="DX199" s="83">
        <f t="shared" ca="1" si="234"/>
        <v>-3.6303999999999998</v>
      </c>
      <c r="DY199" s="67"/>
      <c r="DZ199" s="67"/>
      <c r="EA199" s="85"/>
      <c r="EB199" s="44">
        <v>53200</v>
      </c>
      <c r="EC199" s="44" cm="1">
        <f t="array" aca="1" ref="EC199" ca="1">_FV(EE199,"Volume")</f>
        <v>174900</v>
      </c>
      <c r="EE199" s="2" t="e" vm="201">
        <v>#VALUE!</v>
      </c>
      <c r="EG199" s="10" cm="1">
        <f t="array" aca="1" ref="EG199" ca="1">_FV(EE199,"Ações em circulação",TRUE)</f>
        <v>167041900</v>
      </c>
      <c r="EH199" s="21">
        <f>VLOOKUP(BH199,Fundamentus!A:U,5,FALSE)</f>
        <v>4.4870000000000001</v>
      </c>
      <c r="EI199" s="2">
        <f t="shared" ca="1" si="256"/>
        <v>6322053812.7925119</v>
      </c>
      <c r="EJ199" s="20">
        <v>-130550932.42574102</v>
      </c>
      <c r="EK199" s="20">
        <f t="shared" ca="1" si="257"/>
        <v>-124544460.11201248</v>
      </c>
      <c r="EM199" s="40" t="str">
        <f>IF(VLOOKUP(BH199,Fundamentus!A:U,3,FALSE)&lt;15,"Bom",IF(VLOOKUP(BH199,Fundamentus!A:U,3,FALSE)&gt;15,"Ruim","n/a"))</f>
        <v>Bom</v>
      </c>
      <c r="EN199" s="36" t="str">
        <f>IF(VLOOKUP(BH199,Fundamentus!A:U,4,FALSE)&lt;1,"Baixo",IF(VLOOKUP(BH199,Fundamentus!A:U,4,FALSE)&lt;1.5,"Moderado",IF(VLOOKUP(BH199,Fundamentus!A:U,4,FALSE)&gt;1.5,"Alto","n/a")))</f>
        <v>Alto</v>
      </c>
      <c r="EO199" s="20" t="str">
        <f>IF(VLOOKUP(BH199,Fundamentus!A:U,8,FALSE)&lt;0,"Risco elevado",IF(VLOOKUP(BH199,Fundamentus!A:U,8,FALSE)&lt;1,"Saudável",IF(VLOOKUP(BH199,Fundamentus!A:U,8,FALSE)&lt;3,"Estável",IF(VLOOKUP(BH199,Fundamentus!A:U,8,FALSE)&gt;3,"Alerta","n/a"))))</f>
        <v>Alerta</v>
      </c>
      <c r="EP199" s="36" t="str">
        <f t="shared" si="258"/>
        <v>Bom</v>
      </c>
      <c r="EQ199" s="20" t="str">
        <f>IF(VLOOKUP(BH199,Fundamentus!A:U,12,FALSE)&lt;2,"Subvalorizada",IF(VLOOKUP(BH199,Fundamentus!A:U,12,FALSE)&lt;6,"Muita barata",IF(VLOOKUP(BH199,Fundamentus!A:U,12,FALSE)&lt;6,"Barata",IF(VLOOKUP(BH199,Fundamentus!A:U,12,FALSE)&lt;8,"Atrativa",IF(VLOOKUP(BH199,Fundamentus!A:U,12,FALSE)&gt;8,"Supervalorizada","n/a")))))</f>
        <v>Supervalorizada</v>
      </c>
      <c r="ES199" s="20" t="str">
        <f>IF(VLOOKUP(BH199,Fundamentus!A:U,17,FALSE)&lt;0.1,"Fraco retorno",IF(VLOOKUP(BH199,Fundamentus!A:U,17,FALSE)&gt;0.1,"Bom retorno","n/a"))</f>
        <v>Fraco retorno</v>
      </c>
      <c r="ET199" s="20" t="str">
        <f>IF(VLOOKUP(BH199,Fundamentus!A:U,16,FALSE)&lt;0.1,"Ineficiente",IF(VLOOKUP(BH199,Fundamentus!A:U,16,FALSE)&gt;0.1,"Eficiente","n/a"))</f>
        <v>Ineficiente</v>
      </c>
      <c r="EU199" s="41" t="str">
        <f>IF(VLOOKUP(BH199,Fundamentus!A:U,16,FALSE)&lt;0.1,"Oper. Ineficiente",IF(VLOOKUP(BH199,Fundamentus!A:U,16,FALSE)&gt;0.1,"Oper.Eficiente","n/a"))</f>
        <v>Oper. Ineficiente</v>
      </c>
      <c r="EV199" s="42">
        <f>VLOOKUP(BH199,Fundamentus!A:U,14,FALSE)</f>
        <v>-1.9699999999999999E-2</v>
      </c>
      <c r="EW199" s="20" t="str">
        <f>IF(VLOOKUP(BH199,Fundamentus!A:U,21,FALSE)&lt;0,"Negativo",IF(VLOOKUP(BH199,Fundamentus!A:U,21,FALSE)&lt;0.05,"Fraco",IF(VLOOKUP(BH199,Fundamentus!A:U,21,FALSE)&lt;0.1,"Bom",IF(VLOOKUP(BH199,Fundamentus!A:U,21,FALSE)&gt;0.1,"Muito bom","n/a"))))</f>
        <v>Muito bom</v>
      </c>
      <c r="EY199" s="37" t="str">
        <f>IF(VLOOKUP(BH199,Fundamentus!A:U,15,FALSE)&gt;1,"Bom",IF(VLOOKUP(BH199,Fundamentus!A:U,15,FALSE)&lt;1,"Ruim","n/a"))</f>
        <v>Bom</v>
      </c>
      <c r="EZ199" s="20" t="str">
        <f>IF(VLOOKUP(BH199,Fundamentus!A:U,20,FALSE)&lt;0.5,"Baixa",IF(VLOOKUP(BH199,Fundamentus!A:U,20,FALSE)&lt;1,"Moderada",IF(VLOOKUP(BH199,Fundamentus!A:U,20,FALSE)&lt;2,"Alerta",IF(VLOOKUP(BH199,Fundamentus!A:U,20,FALSE)&gt;2,"Alta","n/a"))))</f>
        <v>Alta</v>
      </c>
      <c r="FA199" s="10"/>
    </row>
    <row r="200" spans="1:157" s="2" customFormat="1" ht="11.25" hidden="1" x14ac:dyDescent="0.2">
      <c r="A200" s="4">
        <v>1.06</v>
      </c>
      <c r="B200" s="4">
        <v>1.04</v>
      </c>
      <c r="C200" s="4">
        <v>0.98</v>
      </c>
      <c r="D200" s="4">
        <v>0.95</v>
      </c>
      <c r="E200" s="4">
        <v>0.97</v>
      </c>
      <c r="F200" s="4">
        <v>0.84</v>
      </c>
      <c r="G200" s="4">
        <v>0.8</v>
      </c>
      <c r="H200" s="4">
        <v>0.79</v>
      </c>
      <c r="I200" s="4">
        <v>0.82</v>
      </c>
      <c r="J200" s="4">
        <v>0.92</v>
      </c>
      <c r="K200" s="4">
        <v>0.99</v>
      </c>
      <c r="L200" s="4">
        <v>1.1000000000000001</v>
      </c>
      <c r="M200" s="4">
        <v>1.1100000000000001</v>
      </c>
      <c r="N200" s="4">
        <v>1.1499999999999999</v>
      </c>
      <c r="O200" s="4">
        <v>1.18</v>
      </c>
      <c r="P200" s="4">
        <v>1.17</v>
      </c>
      <c r="Q200" s="4">
        <v>1.35</v>
      </c>
      <c r="R200" s="4">
        <v>1.31</v>
      </c>
      <c r="S200" s="4">
        <v>1.1499999999999999</v>
      </c>
      <c r="T200" s="4">
        <v>1.1599999999999999</v>
      </c>
      <c r="U200" s="4">
        <v>1.0900000000000001</v>
      </c>
      <c r="V200" s="4">
        <v>1.1399999999999999</v>
      </c>
      <c r="W200" s="4">
        <v>1.1599999999999999</v>
      </c>
      <c r="X200" s="4">
        <v>31.5</v>
      </c>
      <c r="Y200" s="4">
        <v>28.34</v>
      </c>
      <c r="Z200" s="4">
        <v>24.76</v>
      </c>
      <c r="AA200" s="4">
        <v>24.13</v>
      </c>
      <c r="AB200" s="4">
        <v>26.86</v>
      </c>
      <c r="AC200" s="4">
        <v>27.46</v>
      </c>
      <c r="AD200" s="4">
        <v>29.52</v>
      </c>
      <c r="AE200" s="4">
        <v>27.4</v>
      </c>
      <c r="AF200" s="4">
        <v>26.32</v>
      </c>
      <c r="AG200" s="4">
        <v>26.81</v>
      </c>
      <c r="AH200" s="4">
        <v>24.68</v>
      </c>
      <c r="AI200" s="4">
        <v>24.64</v>
      </c>
      <c r="AJ200" s="4">
        <v>21.82</v>
      </c>
      <c r="AK200" s="4">
        <v>19.3</v>
      </c>
      <c r="AL200" s="4">
        <v>20.49</v>
      </c>
      <c r="AM200" s="4">
        <v>21.47</v>
      </c>
      <c r="AN200" s="4">
        <v>20.329999999999998</v>
      </c>
      <c r="AO200" s="4">
        <v>20.27</v>
      </c>
      <c r="AP200" s="4">
        <v>20.399999999999999</v>
      </c>
      <c r="AQ200" s="4">
        <v>20.68</v>
      </c>
      <c r="AR200" s="4">
        <v>21.76</v>
      </c>
      <c r="AS200" s="4">
        <v>21.91</v>
      </c>
      <c r="AT200" s="4">
        <v>22.25</v>
      </c>
      <c r="AU200" s="4">
        <v>22.99</v>
      </c>
      <c r="AV200" s="4">
        <v>22.37</v>
      </c>
      <c r="AW200" s="4">
        <v>19.34</v>
      </c>
      <c r="AX200" s="4">
        <v>20.3</v>
      </c>
      <c r="AY200" s="12">
        <v>19.95</v>
      </c>
      <c r="AZ200" s="12">
        <v>20.02</v>
      </c>
      <c r="BA200" s="12">
        <v>19.8</v>
      </c>
      <c r="BB200" s="18">
        <v>20.190000000000001</v>
      </c>
      <c r="BC200" s="63">
        <v>20.21</v>
      </c>
      <c r="BD200" s="63">
        <v>26.36</v>
      </c>
      <c r="BE200" s="63">
        <v>26</v>
      </c>
      <c r="BF200" s="63">
        <v>26.41</v>
      </c>
      <c r="BG200" s="91" cm="1">
        <f t="array" aca="1" ref="BG200" ca="1">_FV(EE200,"Preço")</f>
        <v>26.56</v>
      </c>
      <c r="BH200" s="93" t="s">
        <v>197</v>
      </c>
      <c r="BI200" s="32" cm="1">
        <f t="array" aca="1" ref="BI200" ca="1">_FV(EE200,"Beta")</f>
        <v>1.0766</v>
      </c>
      <c r="BJ200" s="96" cm="1">
        <f t="array" aca="1" ref="BJ200" ca="1">_FV(EE200,"Variação (%)",TRUE)</f>
        <v>-1.0062999999999999E-2</v>
      </c>
      <c r="BK200" s="49"/>
      <c r="BL200" s="49"/>
      <c r="BN200" s="32"/>
      <c r="BO200" s="20" cm="1">
        <f t="array" aca="1" ref="BO200" ca="1">_FV(EE200,"Baixo")</f>
        <v>25.95</v>
      </c>
      <c r="BP200" s="20" cm="1">
        <f t="array" aca="1" ref="BP200" ca="1">_FV(EE200,"Alto")</f>
        <v>27.32</v>
      </c>
      <c r="BQ200" s="32"/>
      <c r="BR200" s="74" t="e">
        <f ca="1">SQRT(22.5*(BG200/VLOOKUP(BH200,Fundamentus!A:U,3,FALSE))*(BG200/VLOOKUP(BH200,Fundamentus!A:U,4,FALSE)))</f>
        <v>#NUM!</v>
      </c>
      <c r="BT200" s="73">
        <f t="shared" ca="1" si="235"/>
        <v>5.6796667928814305E-3</v>
      </c>
      <c r="BU200" s="36">
        <f t="shared" si="236"/>
        <v>23.528301886792452</v>
      </c>
      <c r="BV200" s="8"/>
      <c r="BW200" s="72">
        <f t="shared" si="237"/>
        <v>0.79</v>
      </c>
      <c r="BX200" s="72">
        <f t="shared" si="238"/>
        <v>14.504655172413793</v>
      </c>
      <c r="BY200" s="72">
        <f t="shared" si="239"/>
        <v>31.5</v>
      </c>
      <c r="BZ200" s="17"/>
      <c r="CA200" s="17"/>
      <c r="CB200" s="43">
        <f t="shared" si="240"/>
        <v>24.04867628172796</v>
      </c>
      <c r="CC200" s="18">
        <f t="shared" si="241"/>
        <v>29.294789128398406</v>
      </c>
      <c r="CD200" s="43">
        <f t="shared" si="242"/>
        <v>34.540901975068849</v>
      </c>
      <c r="CE200" s="98">
        <f t="shared" ca="1" si="243"/>
        <v>-0.52129818940781991</v>
      </c>
      <c r="CF200" s="17"/>
      <c r="CG200" s="20">
        <f t="shared" si="244"/>
        <v>-23.076666666666668</v>
      </c>
      <c r="CH200" s="20">
        <f t="shared" si="245"/>
        <v>-11.143333333333334</v>
      </c>
      <c r="CI200" s="20">
        <f t="shared" si="246"/>
        <v>7.6333333333333329</v>
      </c>
      <c r="CJ200" s="49">
        <f t="shared" si="247"/>
        <v>19.566666666666666</v>
      </c>
      <c r="CK200" s="20">
        <f t="shared" si="248"/>
        <v>38.343333333333334</v>
      </c>
      <c r="CL200" s="20">
        <f t="shared" si="249"/>
        <v>50.276666666666671</v>
      </c>
      <c r="CM200" s="20">
        <f t="shared" si="250"/>
        <v>69.053333333333342</v>
      </c>
      <c r="CN200" s="2" cm="1">
        <f t="array" aca="1" ref="CN200" ca="1">MAX(_xlfn._xlws.FILTER(CG200:CM200,CG200:CM200&lt;BG200))</f>
        <v>19.566666666666666</v>
      </c>
      <c r="CO200" s="2" cm="1">
        <f t="array" aca="1" ref="CO200" ca="1">MIN(_xlfn._xlws.FILTER($CG200:$CM200,$CG200:$CM200&gt;BG200))</f>
        <v>38.343333333333334</v>
      </c>
      <c r="CP200" s="19">
        <f t="shared" ca="1" si="217"/>
        <v>0.95962521294718917</v>
      </c>
      <c r="CQ200" s="23">
        <f t="shared" ca="1" si="218"/>
        <v>-0.47981260647359458</v>
      </c>
      <c r="CR200" s="23">
        <f t="shared" ca="1" si="219"/>
        <v>-0.31987507098239637</v>
      </c>
      <c r="CS200" s="23">
        <f t="shared" ca="1" si="220"/>
        <v>-0.19192504258943782</v>
      </c>
      <c r="CT200" s="23">
        <f t="shared" ca="1" si="221"/>
        <v>-0.10662502366079879</v>
      </c>
      <c r="CU200" s="23">
        <f t="shared" ca="1" si="222"/>
        <v>-5.6448541938069953E-2</v>
      </c>
      <c r="CV200" s="23">
        <f t="shared" ca="1" si="223"/>
        <v>-2.9079551907490581E-2</v>
      </c>
      <c r="CW200" s="23">
        <f t="shared" ca="1" si="224"/>
        <v>-1.4763464814572141E-2</v>
      </c>
      <c r="CX200" s="24">
        <f t="shared" ca="1" si="225"/>
        <v>1.4763464814572141E-2</v>
      </c>
      <c r="CY200" s="24">
        <f t="shared" ca="1" si="226"/>
        <v>2.9079551907490581E-2</v>
      </c>
      <c r="CZ200" s="24">
        <f t="shared" ca="1" si="227"/>
        <v>5.6448541938069953E-2</v>
      </c>
      <c r="DA200" s="24">
        <f t="shared" ca="1" si="228"/>
        <v>0.10662502366079879</v>
      </c>
      <c r="DB200" s="24">
        <f t="shared" ca="1" si="229"/>
        <v>0.19192504258943782</v>
      </c>
      <c r="DC200" s="24">
        <f t="shared" ca="1" si="230"/>
        <v>0.31987507098239637</v>
      </c>
      <c r="DD200" s="24">
        <f t="shared" ca="1" si="231"/>
        <v>0.47981260647359458</v>
      </c>
      <c r="DF200" s="19" cm="1">
        <f t="array" aca="1" ref="DF200" ca="1">MAX(_xlfn._xlws.FILTER(CQ200:DD200,CQ200:DD200&lt;BJ200))</f>
        <v>-1.4763464814572141E-2</v>
      </c>
      <c r="DG200" s="19" cm="1">
        <f t="array" aca="1" ref="DG200" ca="1">MIN(_xlfn._xlws.FILTER(CQ200:DD200,CQ200:DD200&gt;BJ200))</f>
        <v>1.4763464814572141E-2</v>
      </c>
      <c r="DH200" s="2" cm="1">
        <f t="array" aca="1" ref="DH200" ca="1">_FV(EE200,"Fechamento anterior",TRUE)</f>
        <v>26.83</v>
      </c>
      <c r="DI200" s="36">
        <f t="shared" ca="1" si="251"/>
        <v>0.15918021159983275</v>
      </c>
      <c r="DJ200" s="18">
        <f t="shared" ca="1" si="232"/>
        <v>26.433896239025028</v>
      </c>
      <c r="DK200" s="18">
        <f t="shared" ca="1" si="233"/>
        <v>27.226103760974969</v>
      </c>
      <c r="DL200" s="9"/>
      <c r="DM200" s="9"/>
      <c r="DN200" s="9"/>
      <c r="DO200" s="9"/>
      <c r="DP200" s="79">
        <v>1.3858245702323661E-2</v>
      </c>
      <c r="DQ200" s="79">
        <v>2.9248227289576576E-2</v>
      </c>
      <c r="DR200" s="79">
        <v>2.9248227289576576E-2</v>
      </c>
      <c r="DS200" s="79">
        <f t="shared" ca="1" si="252"/>
        <v>2.9526929629144282E-2</v>
      </c>
      <c r="DT200" s="47"/>
      <c r="DU200" s="43">
        <f t="shared" si="253"/>
        <v>2.6230564233352229</v>
      </c>
      <c r="DV200" s="83">
        <f t="shared" ca="1" si="254"/>
        <v>1.5026999999999999</v>
      </c>
      <c r="DW200" s="83">
        <f t="shared" ca="1" si="255"/>
        <v>2.0829</v>
      </c>
      <c r="DX200" s="83">
        <f t="shared" ca="1" si="234"/>
        <v>-0.58020000000000005</v>
      </c>
      <c r="DY200" s="67"/>
      <c r="DZ200" s="67"/>
      <c r="EA200" s="85"/>
      <c r="EB200" s="44">
        <v>8000</v>
      </c>
      <c r="EC200" s="44" cm="1">
        <f t="array" aca="1" ref="EC200" ca="1">_FV(EE200,"Volume")</f>
        <v>8100</v>
      </c>
      <c r="EE200" s="2" t="e" vm="202">
        <v>#VALUE!</v>
      </c>
      <c r="EG200" s="10" cm="1">
        <f t="array" aca="1" ref="EG200" ca="1">_FV(EE200,"Ações em circulação",TRUE)</f>
        <v>9140940</v>
      </c>
      <c r="EH200" s="21">
        <f>VLOOKUP(BH200,Fundamentus!A:U,5,FALSE)</f>
        <v>0.88600000000000001</v>
      </c>
      <c r="EI200" s="2">
        <f t="shared" ca="1" si="256"/>
        <v>274021858.2392776</v>
      </c>
      <c r="EJ200" s="20">
        <v>-30816842.768329572</v>
      </c>
      <c r="EK200" s="20">
        <f t="shared" ca="1" si="257"/>
        <v>-30991872.166862298</v>
      </c>
      <c r="EM200" s="40" t="str">
        <f>IF(VLOOKUP(BH200,Fundamentus!A:U,3,FALSE)&lt;15,"Bom",IF(VLOOKUP(BH200,Fundamentus!A:U,3,FALSE)&gt;15,"Ruim","n/a"))</f>
        <v>Bom</v>
      </c>
      <c r="EN200" s="36" t="str">
        <f>IF(VLOOKUP(BH200,Fundamentus!A:U,4,FALSE)&lt;1,"Baixo",IF(VLOOKUP(BH200,Fundamentus!A:U,4,FALSE)&lt;1.5,"Moderado",IF(VLOOKUP(BH200,Fundamentus!A:U,4,FALSE)&gt;1.5,"Alto","n/a")))</f>
        <v>Baixo</v>
      </c>
      <c r="EO200" s="20" t="str">
        <f>IF(VLOOKUP(BH200,Fundamentus!A:U,8,FALSE)&lt;0,"Risco elevado",IF(VLOOKUP(BH200,Fundamentus!A:U,8,FALSE)&lt;1,"Saudável",IF(VLOOKUP(BH200,Fundamentus!A:U,8,FALSE)&lt;3,"Estável",IF(VLOOKUP(BH200,Fundamentus!A:U,8,FALSE)&gt;3,"Alerta","n/a"))))</f>
        <v>Estável</v>
      </c>
      <c r="EP200" s="36" t="str">
        <f t="shared" si="258"/>
        <v>Ruim</v>
      </c>
      <c r="EQ200" s="20" t="str">
        <f>IF(VLOOKUP(BH200,Fundamentus!A:U,12,FALSE)&lt;2,"Subvalorizada",IF(VLOOKUP(BH200,Fundamentus!A:U,12,FALSE)&lt;6,"Muita barata",IF(VLOOKUP(BH200,Fundamentus!A:U,12,FALSE)&lt;6,"Barata",IF(VLOOKUP(BH200,Fundamentus!A:U,12,FALSE)&lt;8,"Atrativa",IF(VLOOKUP(BH200,Fundamentus!A:U,12,FALSE)&gt;8,"Supervalorizada","n/a")))))</f>
        <v>Muita barata</v>
      </c>
      <c r="ES200" s="20" t="str">
        <f>IF(VLOOKUP(BH200,Fundamentus!A:U,17,FALSE)&lt;0.1,"Fraco retorno",IF(VLOOKUP(BH200,Fundamentus!A:U,17,FALSE)&gt;0.1,"Bom retorno","n/a"))</f>
        <v>Fraco retorno</v>
      </c>
      <c r="ET200" s="20" t="str">
        <f>IF(VLOOKUP(BH200,Fundamentus!A:U,16,FALSE)&lt;0.1,"Ineficiente",IF(VLOOKUP(BH200,Fundamentus!A:U,16,FALSE)&gt;0.1,"Eficiente","n/a"))</f>
        <v>Ineficiente</v>
      </c>
      <c r="EU200" s="41" t="str">
        <f>IF(VLOOKUP(BH200,Fundamentus!A:U,16,FALSE)&lt;0.1,"Oper. Ineficiente",IF(VLOOKUP(BH200,Fundamentus!A:U,16,FALSE)&gt;0.1,"Oper.Eficiente","n/a"))</f>
        <v>Oper. Ineficiente</v>
      </c>
      <c r="EV200" s="42">
        <f>VLOOKUP(BH200,Fundamentus!A:U,14,FALSE)</f>
        <v>-0.11310000000000001</v>
      </c>
      <c r="EW200" s="20" t="str">
        <f>IF(VLOOKUP(BH200,Fundamentus!A:U,21,FALSE)&lt;0,"Negativo",IF(VLOOKUP(BH200,Fundamentus!A:U,21,FALSE)&lt;0.05,"Fraco",IF(VLOOKUP(BH200,Fundamentus!A:U,21,FALSE)&lt;0.1,"Bom",IF(VLOOKUP(BH200,Fundamentus!A:U,21,FALSE)&gt;0.1,"Muito bom","n/a"))))</f>
        <v>Bom</v>
      </c>
      <c r="EY200" s="37" t="str">
        <f>IF(VLOOKUP(BH200,Fundamentus!A:U,15,FALSE)&gt;1,"Bom",IF(VLOOKUP(BH200,Fundamentus!A:U,15,FALSE)&lt;1,"Ruim","n/a"))</f>
        <v>Bom</v>
      </c>
      <c r="EZ200" s="20" t="str">
        <f>IF(VLOOKUP(BH200,Fundamentus!A:U,20,FALSE)&lt;0.5,"Baixa",IF(VLOOKUP(BH200,Fundamentus!A:U,20,FALSE)&lt;1,"Moderada",IF(VLOOKUP(BH200,Fundamentus!A:U,20,FALSE)&lt;2,"Alerta",IF(VLOOKUP(BH200,Fundamentus!A:U,20,FALSE)&gt;2,"Alta","n/a"))))</f>
        <v>Baixa</v>
      </c>
      <c r="FA200" s="10"/>
    </row>
    <row r="201" spans="1:157" s="2" customFormat="1" ht="11.25" hidden="1" x14ac:dyDescent="0.2">
      <c r="A201" s="4">
        <v>8.85</v>
      </c>
      <c r="B201" s="4">
        <v>9.06</v>
      </c>
      <c r="C201" s="4">
        <v>9.9499999999999993</v>
      </c>
      <c r="D201" s="4">
        <v>10</v>
      </c>
      <c r="E201" s="4">
        <v>9.57</v>
      </c>
      <c r="F201" s="4">
        <v>9.6999999999999993</v>
      </c>
      <c r="G201" s="4">
        <v>9.0399999999999991</v>
      </c>
      <c r="H201" s="4">
        <v>8.27</v>
      </c>
      <c r="I201" s="4">
        <v>8.26</v>
      </c>
      <c r="J201" s="4">
        <v>8.5299999999999994</v>
      </c>
      <c r="K201" s="4">
        <v>9.24</v>
      </c>
      <c r="L201" s="4">
        <v>8.8699999999999992</v>
      </c>
      <c r="M201" s="4">
        <v>8.83</v>
      </c>
      <c r="N201" s="4">
        <v>9.3000000000000007</v>
      </c>
      <c r="O201" s="4">
        <v>9.8000000000000007</v>
      </c>
      <c r="P201" s="4">
        <v>9.4600000000000009</v>
      </c>
      <c r="Q201" s="4">
        <v>9.2899999999999991</v>
      </c>
      <c r="R201" s="4">
        <v>9.5299999999999994</v>
      </c>
      <c r="S201" s="4">
        <v>9.61</v>
      </c>
      <c r="T201" s="4">
        <v>9.43</v>
      </c>
      <c r="U201" s="4">
        <v>8.8000000000000007</v>
      </c>
      <c r="V201" s="4">
        <v>8.7899999999999991</v>
      </c>
      <c r="W201" s="4">
        <v>8.66</v>
      </c>
      <c r="X201" s="4">
        <v>8.24</v>
      </c>
      <c r="Y201" s="4">
        <v>8.1300000000000008</v>
      </c>
      <c r="Z201" s="4">
        <v>7.94</v>
      </c>
      <c r="AA201" s="4">
        <v>7.79</v>
      </c>
      <c r="AB201" s="4">
        <v>7.84</v>
      </c>
      <c r="AC201" s="4">
        <v>7.73</v>
      </c>
      <c r="AD201" s="4">
        <v>7.72</v>
      </c>
      <c r="AE201" s="4">
        <v>7.16</v>
      </c>
      <c r="AF201" s="4">
        <v>6.91</v>
      </c>
      <c r="AG201" s="4">
        <v>6.81</v>
      </c>
      <c r="AH201" s="4">
        <v>6.1</v>
      </c>
      <c r="AI201" s="4">
        <v>5.99</v>
      </c>
      <c r="AJ201" s="4">
        <v>5.6</v>
      </c>
      <c r="AK201" s="4">
        <v>4.91</v>
      </c>
      <c r="AL201" s="4">
        <v>4.68</v>
      </c>
      <c r="AM201" s="4">
        <v>4.6900000000000004</v>
      </c>
      <c r="AN201" s="4">
        <v>4.76</v>
      </c>
      <c r="AO201" s="4">
        <v>4.3899999999999997</v>
      </c>
      <c r="AP201" s="4">
        <v>4.5</v>
      </c>
      <c r="AQ201" s="4">
        <v>4.33</v>
      </c>
      <c r="AR201" s="4">
        <v>3.55</v>
      </c>
      <c r="AS201" s="4">
        <v>3.81</v>
      </c>
      <c r="AT201" s="4">
        <v>3.8</v>
      </c>
      <c r="AU201" s="4">
        <v>3.8450000000000002</v>
      </c>
      <c r="AV201" s="4">
        <v>3.93</v>
      </c>
      <c r="AW201" s="4">
        <v>3.96</v>
      </c>
      <c r="AX201" s="4">
        <v>3.97</v>
      </c>
      <c r="AY201" s="12">
        <v>4.09</v>
      </c>
      <c r="AZ201" s="12">
        <v>4.2699999999999996</v>
      </c>
      <c r="BA201" s="12">
        <v>4.3600000000000003</v>
      </c>
      <c r="BB201" s="18">
        <v>4.4400000000000004</v>
      </c>
      <c r="BC201" s="63">
        <v>5.0199999999999996</v>
      </c>
      <c r="BD201" s="63">
        <v>4.82</v>
      </c>
      <c r="BE201" s="63">
        <v>4.75</v>
      </c>
      <c r="BF201" s="63">
        <v>4.76</v>
      </c>
      <c r="BG201" s="91" cm="1">
        <f t="array" aca="1" ref="BG201" ca="1">_FV(EE201,"Preço")</f>
        <v>5.0599999999999996</v>
      </c>
      <c r="BH201" s="93" t="s">
        <v>251</v>
      </c>
      <c r="BI201" s="32" cm="1">
        <f t="array" aca="1" ref="BI201" ca="1">_FV(EE201,"Beta")</f>
        <v>0.38840000000000002</v>
      </c>
      <c r="BJ201" s="96" cm="1">
        <f t="array" aca="1" ref="BJ201" ca="1">_FV(EE201,"Variação (%)",TRUE)</f>
        <v>0</v>
      </c>
      <c r="BK201" s="49"/>
      <c r="BL201" s="49"/>
      <c r="BN201" s="32"/>
      <c r="BO201" s="20" cm="1">
        <f t="array" aca="1" ref="BO201" ca="1">_FV(EE201,"Baixo")</f>
        <v>4.96</v>
      </c>
      <c r="BP201" s="20" cm="1">
        <f t="array" aca="1" ref="BP201" ca="1">_FV(EE201,"Alto")</f>
        <v>5.14</v>
      </c>
      <c r="BQ201" s="32"/>
      <c r="BR201" s="74">
        <f ca="1">SQRT(22.5*(BG201/VLOOKUP(BH201,Fundamentus!A:U,3,FALSE))*(BG201/VLOOKUP(BH201,Fundamentus!A:U,4,FALSE)))</f>
        <v>12.566500737654602</v>
      </c>
      <c r="BT201" s="73">
        <f t="shared" ca="1" si="235"/>
        <v>6.3025210084033584E-2</v>
      </c>
      <c r="BU201" s="36">
        <f t="shared" si="236"/>
        <v>-0.4632768361581921</v>
      </c>
      <c r="BV201" s="8"/>
      <c r="BW201" s="72">
        <f t="shared" si="237"/>
        <v>3.55</v>
      </c>
      <c r="BX201" s="72">
        <f t="shared" si="238"/>
        <v>6.9040517241379327</v>
      </c>
      <c r="BY201" s="72">
        <f t="shared" si="239"/>
        <v>10</v>
      </c>
      <c r="BZ201" s="17"/>
      <c r="CA201" s="17"/>
      <c r="CB201" s="43">
        <f t="shared" si="240"/>
        <v>4.4099664151470641</v>
      </c>
      <c r="CC201" s="18">
        <f t="shared" si="241"/>
        <v>4.6273945641986529</v>
      </c>
      <c r="CD201" s="43">
        <f t="shared" si="242"/>
        <v>4.8448227132502417</v>
      </c>
      <c r="CE201" s="98">
        <f t="shared" ca="1" si="243"/>
        <v>1.9896477879628325</v>
      </c>
      <c r="CF201" s="17"/>
      <c r="CG201" s="20">
        <f t="shared" si="244"/>
        <v>-4.2433333333333314</v>
      </c>
      <c r="CH201" s="20">
        <f t="shared" si="245"/>
        <v>-0.34666666666666579</v>
      </c>
      <c r="CI201" s="20">
        <f t="shared" si="246"/>
        <v>2.2066666666666688</v>
      </c>
      <c r="CJ201" s="49">
        <f t="shared" si="247"/>
        <v>6.1033333333333344</v>
      </c>
      <c r="CK201" s="20">
        <f t="shared" si="248"/>
        <v>8.6566666666666698</v>
      </c>
      <c r="CL201" s="20">
        <f t="shared" si="249"/>
        <v>12.553333333333335</v>
      </c>
      <c r="CM201" s="20">
        <f t="shared" si="250"/>
        <v>15.106666666666669</v>
      </c>
      <c r="CN201" s="2" cm="1">
        <f t="array" aca="1" ref="CN201" ca="1">MAX(_xlfn._xlws.FILTER(CG201:CM201,CG201:CM201&lt;BG201))</f>
        <v>2.2066666666666688</v>
      </c>
      <c r="CO201" s="2" cm="1">
        <f t="array" aca="1" ref="CO201" ca="1">MIN(_xlfn._xlws.FILTER($CG201:$CM201,$CG201:$CM201&gt;BG201))</f>
        <v>6.1033333333333344</v>
      </c>
      <c r="CP201" s="19">
        <f t="shared" ca="1" si="217"/>
        <v>1.7658610271903301</v>
      </c>
      <c r="CQ201" s="23">
        <f t="shared" ca="1" si="218"/>
        <v>-0.88293051359516506</v>
      </c>
      <c r="CR201" s="23">
        <f t="shared" ca="1" si="219"/>
        <v>-0.58862034239677674</v>
      </c>
      <c r="CS201" s="23">
        <f t="shared" ca="1" si="220"/>
        <v>-0.35317220543806604</v>
      </c>
      <c r="CT201" s="23">
        <f t="shared" ca="1" si="221"/>
        <v>-0.19620678079892556</v>
      </c>
      <c r="CU201" s="23">
        <f t="shared" ca="1" si="222"/>
        <v>-0.10387417807001942</v>
      </c>
      <c r="CV201" s="23">
        <f t="shared" ca="1" si="223"/>
        <v>-5.351094021788879E-2</v>
      </c>
      <c r="CW201" s="23">
        <f t="shared" ca="1" si="224"/>
        <v>-2.7167092726005079E-2</v>
      </c>
      <c r="CX201" s="24">
        <f t="shared" ca="1" si="225"/>
        <v>2.7167092726005079E-2</v>
      </c>
      <c r="CY201" s="24">
        <f t="shared" ca="1" si="226"/>
        <v>5.351094021788879E-2</v>
      </c>
      <c r="CZ201" s="24">
        <f t="shared" ca="1" si="227"/>
        <v>0.10387417807001942</v>
      </c>
      <c r="DA201" s="24">
        <f t="shared" ca="1" si="228"/>
        <v>0.19620678079892556</v>
      </c>
      <c r="DB201" s="24">
        <f t="shared" ca="1" si="229"/>
        <v>0.35317220543806604</v>
      </c>
      <c r="DC201" s="24">
        <f t="shared" ca="1" si="230"/>
        <v>0.58862034239677674</v>
      </c>
      <c r="DD201" s="24">
        <f t="shared" ca="1" si="231"/>
        <v>0.88293051359516506</v>
      </c>
      <c r="DF201" s="19" cm="1">
        <f t="array" aca="1" ref="DF201" ca="1">MAX(_xlfn._xlws.FILTER(CQ201:DD201,CQ201:DD201&lt;BJ201))</f>
        <v>-2.7167092726005079E-2</v>
      </c>
      <c r="DG201" s="19" cm="1">
        <f t="array" aca="1" ref="DG201" ca="1">MIN(_xlfn._xlws.FILTER(CQ201:DD201,CQ201:DD201&gt;BJ201))</f>
        <v>2.7167092726005079E-2</v>
      </c>
      <c r="DH201" s="2" cm="1">
        <f t="array" aca="1" ref="DH201" ca="1">_FV(EE201,"Fechamento anterior",TRUE)</f>
        <v>5.0599999999999996</v>
      </c>
      <c r="DI201" s="36">
        <f t="shared" ca="1" si="251"/>
        <v>0.5</v>
      </c>
      <c r="DJ201" s="18">
        <f t="shared" ca="1" si="232"/>
        <v>4.9225345108064138</v>
      </c>
      <c r="DK201" s="18">
        <f t="shared" ca="1" si="233"/>
        <v>5.1974654891935854</v>
      </c>
      <c r="DL201" s="9"/>
      <c r="DM201" s="9"/>
      <c r="DN201" s="9"/>
      <c r="DO201" s="9"/>
      <c r="DP201" s="79">
        <v>2.6850379791556276E-2</v>
      </c>
      <c r="DQ201" s="79">
        <v>0.1185372005044137</v>
      </c>
      <c r="DR201" s="79">
        <v>0.1185372005044137</v>
      </c>
      <c r="DS201" s="79">
        <f t="shared" ca="1" si="252"/>
        <v>5.4334185452010159E-2</v>
      </c>
      <c r="DT201" s="47"/>
      <c r="DU201" s="43">
        <f t="shared" si="253"/>
        <v>0.10871407452579435</v>
      </c>
      <c r="DV201" s="83">
        <f t="shared" ca="1" si="254"/>
        <v>0.8145</v>
      </c>
      <c r="DW201" s="83">
        <f t="shared" ca="1" si="255"/>
        <v>0.38840000000000002</v>
      </c>
      <c r="DX201" s="83">
        <f t="shared" ca="1" si="234"/>
        <v>0.42609999999999998</v>
      </c>
      <c r="DY201" s="67"/>
      <c r="DZ201" s="67"/>
      <c r="EA201" s="85"/>
      <c r="EB201" s="44">
        <v>565700</v>
      </c>
      <c r="EC201" s="44" cm="1">
        <f t="array" aca="1" ref="EC201" ca="1">_FV(EE201,"Volume")</f>
        <v>962500</v>
      </c>
      <c r="EE201" s="2" t="e" vm="203">
        <v>#VALUE!</v>
      </c>
      <c r="EG201" s="10" cm="1">
        <f t="array" aca="1" ref="EG201" ca="1">_FV(EE201,"Ações em circulação",TRUE)</f>
        <v>350000000</v>
      </c>
      <c r="EH201" s="21">
        <f>VLOOKUP(BH201,Fundamentus!A:U,5,FALSE)</f>
        <v>0.13400000000000001</v>
      </c>
      <c r="EI201" s="2">
        <f t="shared" ca="1" si="256"/>
        <v>13216417910.447758</v>
      </c>
      <c r="EJ201" s="20">
        <v>220061194.02985072</v>
      </c>
      <c r="EK201" s="20">
        <f t="shared" ca="1" si="257"/>
        <v>233930597.01492533</v>
      </c>
      <c r="EM201" s="40" t="str">
        <f>IF(VLOOKUP(BH201,Fundamentus!A:U,3,FALSE)&lt;15,"Bom",IF(VLOOKUP(BH201,Fundamentus!A:U,3,FALSE)&gt;15,"Ruim","n/a"))</f>
        <v>Bom</v>
      </c>
      <c r="EN201" s="36" t="str">
        <f>IF(VLOOKUP(BH201,Fundamentus!A:U,4,FALSE)&lt;1,"Baixo",IF(VLOOKUP(BH201,Fundamentus!A:U,4,FALSE)&lt;1.5,"Moderado",IF(VLOOKUP(BH201,Fundamentus!A:U,4,FALSE)&gt;1.5,"Alto","n/a")))</f>
        <v>Baixo</v>
      </c>
      <c r="EO201" s="20" t="str">
        <f>IF(VLOOKUP(BH201,Fundamentus!A:U,8,FALSE)&lt;0,"Risco elevado",IF(VLOOKUP(BH201,Fundamentus!A:U,8,FALSE)&lt;1,"Saudável",IF(VLOOKUP(BH201,Fundamentus!A:U,8,FALSE)&lt;3,"Estável",IF(VLOOKUP(BH201,Fundamentus!A:U,8,FALSE)&gt;3,"Alerta","n/a"))))</f>
        <v>Saudável</v>
      </c>
      <c r="EP201" s="36" t="str">
        <f t="shared" si="258"/>
        <v>Ruim</v>
      </c>
      <c r="EQ201" s="20" t="str">
        <f>IF(VLOOKUP(BH201,Fundamentus!A:U,12,FALSE)&lt;2,"Subvalorizada",IF(VLOOKUP(BH201,Fundamentus!A:U,12,FALSE)&lt;6,"Muita barata",IF(VLOOKUP(BH201,Fundamentus!A:U,12,FALSE)&lt;6,"Barata",IF(VLOOKUP(BH201,Fundamentus!A:U,12,FALSE)&lt;8,"Atrativa",IF(VLOOKUP(BH201,Fundamentus!A:U,12,FALSE)&gt;8,"Supervalorizada","n/a")))))</f>
        <v>Muita barata</v>
      </c>
      <c r="ES201" s="20" t="str">
        <f>IF(VLOOKUP(BH201,Fundamentus!A:U,17,FALSE)&lt;0.1,"Fraco retorno",IF(VLOOKUP(BH201,Fundamentus!A:U,17,FALSE)&gt;0.1,"Bom retorno","n/a"))</f>
        <v>Fraco retorno</v>
      </c>
      <c r="ET201" s="20" t="str">
        <f>IF(VLOOKUP(BH201,Fundamentus!A:U,16,FALSE)&lt;0.1,"Ineficiente",IF(VLOOKUP(BH201,Fundamentus!A:U,16,FALSE)&gt;0.1,"Eficiente","n/a"))</f>
        <v>Ineficiente</v>
      </c>
      <c r="EU201" s="41" t="str">
        <f>IF(VLOOKUP(BH201,Fundamentus!A:U,16,FALSE)&lt;0.1,"Oper. Ineficiente",IF(VLOOKUP(BH201,Fundamentus!A:U,16,FALSE)&gt;0.1,"Oper.Eficiente","n/a"))</f>
        <v>Oper. Ineficiente</v>
      </c>
      <c r="EV201" s="42">
        <f>VLOOKUP(BH201,Fundamentus!A:U,14,FALSE)</f>
        <v>1.77E-2</v>
      </c>
      <c r="EW201" s="20" t="str">
        <f>IF(VLOOKUP(BH201,Fundamentus!A:U,21,FALSE)&lt;0,"Negativo",IF(VLOOKUP(BH201,Fundamentus!A:U,21,FALSE)&lt;0.05,"Fraco",IF(VLOOKUP(BH201,Fundamentus!A:U,21,FALSE)&lt;0.1,"Bom",IF(VLOOKUP(BH201,Fundamentus!A:U,21,FALSE)&gt;0.1,"Muito bom","n/a"))))</f>
        <v>Muito bom</v>
      </c>
      <c r="EY201" s="37" t="str">
        <f>IF(VLOOKUP(BH201,Fundamentus!A:U,15,FALSE)&gt;1,"Bom",IF(VLOOKUP(BH201,Fundamentus!A:U,15,FALSE)&lt;1,"Ruim","n/a"))</f>
        <v>Bom</v>
      </c>
      <c r="EZ201" s="20" t="str">
        <f>IF(VLOOKUP(BH201,Fundamentus!A:U,20,FALSE)&lt;0.5,"Baixa",IF(VLOOKUP(BH201,Fundamentus!A:U,20,FALSE)&lt;1,"Moderada",IF(VLOOKUP(BH201,Fundamentus!A:U,20,FALSE)&lt;2,"Alerta",IF(VLOOKUP(BH201,Fundamentus!A:U,20,FALSE)&gt;2,"Alta","n/a"))))</f>
        <v>Alerta</v>
      </c>
      <c r="FA201" s="10"/>
    </row>
    <row r="202" spans="1:157" s="2" customFormat="1" ht="11.25" hidden="1" x14ac:dyDescent="0.2">
      <c r="A202" s="4">
        <v>12.55</v>
      </c>
      <c r="B202" s="4">
        <v>11.92</v>
      </c>
      <c r="C202" s="4">
        <v>12.1</v>
      </c>
      <c r="D202" s="4">
        <v>12.2</v>
      </c>
      <c r="E202" s="4">
        <v>11.64</v>
      </c>
      <c r="F202" s="4">
        <v>11.31</v>
      </c>
      <c r="G202" s="4">
        <v>11.01</v>
      </c>
      <c r="H202" s="4">
        <v>11.5</v>
      </c>
      <c r="I202" s="4">
        <v>11.68</v>
      </c>
      <c r="J202" s="4">
        <v>12.45</v>
      </c>
      <c r="K202" s="4">
        <v>12.71</v>
      </c>
      <c r="L202" s="4">
        <v>12.19</v>
      </c>
      <c r="M202" s="4">
        <v>11.84</v>
      </c>
      <c r="N202" s="4">
        <v>11.34</v>
      </c>
      <c r="O202" s="4">
        <v>11.75</v>
      </c>
      <c r="P202" s="4">
        <v>11.04</v>
      </c>
      <c r="Q202" s="4">
        <v>11.28</v>
      </c>
      <c r="R202" s="4">
        <v>11.41</v>
      </c>
      <c r="S202" s="4">
        <v>11.23</v>
      </c>
      <c r="T202" s="4">
        <v>11.19</v>
      </c>
      <c r="U202" s="4">
        <v>11.08</v>
      </c>
      <c r="V202" s="4">
        <v>10.93</v>
      </c>
      <c r="W202" s="4">
        <v>10.64</v>
      </c>
      <c r="X202" s="4">
        <v>10.37</v>
      </c>
      <c r="Y202" s="4">
        <v>10.18</v>
      </c>
      <c r="Z202" s="4">
        <v>9.98</v>
      </c>
      <c r="AA202" s="4">
        <v>9.74</v>
      </c>
      <c r="AB202" s="4">
        <v>10.38</v>
      </c>
      <c r="AC202" s="4">
        <v>9.49</v>
      </c>
      <c r="AD202" s="4">
        <v>9.24</v>
      </c>
      <c r="AE202" s="4">
        <v>9.25</v>
      </c>
      <c r="AF202" s="4">
        <v>9.06</v>
      </c>
      <c r="AG202" s="4">
        <v>9.31</v>
      </c>
      <c r="AH202" s="4">
        <v>8.76</v>
      </c>
      <c r="AI202" s="4">
        <v>8.9700000000000006</v>
      </c>
      <c r="AJ202" s="4">
        <v>8.6199999999999992</v>
      </c>
      <c r="AK202" s="4">
        <v>8.33</v>
      </c>
      <c r="AL202" s="4">
        <v>8.2200000000000006</v>
      </c>
      <c r="AM202" s="4">
        <v>8.1199999999999992</v>
      </c>
      <c r="AN202" s="4">
        <v>8.18</v>
      </c>
      <c r="AO202" s="4">
        <v>8.19</v>
      </c>
      <c r="AP202" s="4">
        <v>8.6999999999999993</v>
      </c>
      <c r="AQ202" s="4">
        <v>8.11</v>
      </c>
      <c r="AR202" s="4">
        <v>8.0299999999999994</v>
      </c>
      <c r="AS202" s="4">
        <v>8.2200000000000006</v>
      </c>
      <c r="AT202" s="4">
        <v>8.01</v>
      </c>
      <c r="AU202" s="4">
        <v>8.06</v>
      </c>
      <c r="AV202" s="4">
        <v>8.3699999999999992</v>
      </c>
      <c r="AW202" s="4">
        <v>8.3800000000000008</v>
      </c>
      <c r="AX202" s="4">
        <v>8.59</v>
      </c>
      <c r="AY202" s="12">
        <v>9.1199999999999992</v>
      </c>
      <c r="AZ202" s="12">
        <v>8.74</v>
      </c>
      <c r="BA202" s="12">
        <v>8.5500000000000007</v>
      </c>
      <c r="BB202" s="18">
        <v>8</v>
      </c>
      <c r="BC202" s="63">
        <v>8.1300000000000008</v>
      </c>
      <c r="BD202" s="63">
        <v>8.0299999999999994</v>
      </c>
      <c r="BE202" s="63">
        <v>7.95</v>
      </c>
      <c r="BF202" s="63">
        <v>7.66</v>
      </c>
      <c r="BG202" s="91" cm="1">
        <f t="array" aca="1" ref="BG202" ca="1">_FV(EE202,"Preço")</f>
        <v>7.75</v>
      </c>
      <c r="BH202" s="93" t="s">
        <v>199</v>
      </c>
      <c r="BI202" s="32" cm="1">
        <f t="array" aca="1" ref="BI202" ca="1">_FV(EE202,"Beta")</f>
        <v>1.0914999999999999</v>
      </c>
      <c r="BJ202" s="96" cm="1">
        <f t="array" aca="1" ref="BJ202" ca="1">_FV(EE202,"Variação (%)",TRUE)</f>
        <v>6.4939999999999998E-3</v>
      </c>
      <c r="BK202" s="49"/>
      <c r="BL202" s="49"/>
      <c r="BN202" s="32"/>
      <c r="BO202" s="20" cm="1">
        <f t="array" aca="1" ref="BO202" ca="1">_FV(EE202,"Baixo")</f>
        <v>7.55</v>
      </c>
      <c r="BP202" s="20" cm="1">
        <f t="array" aca="1" ref="BP202" ca="1">_FV(EE202,"Alto")</f>
        <v>7.76</v>
      </c>
      <c r="BQ202" s="32"/>
      <c r="BR202" s="74">
        <f ca="1">SQRT(22.5*(BG202/VLOOKUP(BH202,Fundamentus!A:U,3,FALSE))*(BG202/VLOOKUP(BH202,Fundamentus!A:U,4,FALSE)))</f>
        <v>10.592502461161924</v>
      </c>
      <c r="BT202" s="73">
        <f t="shared" ca="1" si="235"/>
        <v>1.174934725848562E-2</v>
      </c>
      <c r="BU202" s="36">
        <f t="shared" si="236"/>
        <v>-0.36653386454183268</v>
      </c>
      <c r="BV202" s="8"/>
      <c r="BW202" s="72">
        <f t="shared" si="237"/>
        <v>7.66</v>
      </c>
      <c r="BX202" s="72">
        <f t="shared" si="238"/>
        <v>9.8625862068965517</v>
      </c>
      <c r="BY202" s="72">
        <f t="shared" si="239"/>
        <v>12.71</v>
      </c>
      <c r="BZ202" s="17"/>
      <c r="CA202" s="17"/>
      <c r="CB202" s="43">
        <f t="shared" si="240"/>
        <v>7.2327585240860364</v>
      </c>
      <c r="CC202" s="18">
        <f t="shared" si="241"/>
        <v>7.5830084348640412</v>
      </c>
      <c r="CD202" s="43">
        <f t="shared" si="242"/>
        <v>7.933258345642046</v>
      </c>
      <c r="CE202" s="98">
        <f t="shared" ca="1" si="243"/>
        <v>0.47677832312654406</v>
      </c>
      <c r="CF202" s="17"/>
      <c r="CG202" s="20">
        <f t="shared" si="244"/>
        <v>0.92666666666666586</v>
      </c>
      <c r="CH202" s="20">
        <f t="shared" si="245"/>
        <v>4.293333333333333</v>
      </c>
      <c r="CI202" s="20">
        <f t="shared" si="246"/>
        <v>5.9766666666666666</v>
      </c>
      <c r="CJ202" s="49">
        <f t="shared" si="247"/>
        <v>9.3433333333333337</v>
      </c>
      <c r="CK202" s="20">
        <f t="shared" si="248"/>
        <v>11.026666666666667</v>
      </c>
      <c r="CL202" s="20">
        <f t="shared" si="249"/>
        <v>14.393333333333334</v>
      </c>
      <c r="CM202" s="20">
        <f t="shared" si="250"/>
        <v>16.076666666666668</v>
      </c>
      <c r="CN202" s="2" cm="1">
        <f t="array" aca="1" ref="CN202" ca="1">MAX(_xlfn._xlws.FILTER(CG202:CM202,CG202:CM202&lt;BG202))</f>
        <v>5.9766666666666666</v>
      </c>
      <c r="CO202" s="2" cm="1">
        <f t="array" aca="1" ref="CO202" ca="1">MIN(_xlfn._xlws.FILTER($CG202:$CM202,$CG202:$CM202&gt;BG202))</f>
        <v>9.3433333333333337</v>
      </c>
      <c r="CP202" s="19">
        <f t="shared" ca="1" si="217"/>
        <v>0.5633017289459008</v>
      </c>
      <c r="CQ202" s="23">
        <f t="shared" ca="1" si="218"/>
        <v>-0.2816508644729504</v>
      </c>
      <c r="CR202" s="23">
        <f t="shared" ca="1" si="219"/>
        <v>-0.18776724298196693</v>
      </c>
      <c r="CS202" s="23">
        <f t="shared" ca="1" si="220"/>
        <v>-0.11266034578918016</v>
      </c>
      <c r="CT202" s="23">
        <f t="shared" ca="1" si="221"/>
        <v>-6.258908099398898E-2</v>
      </c>
      <c r="CU202" s="23">
        <f t="shared" ca="1" si="222"/>
        <v>-3.3135395820347108E-2</v>
      </c>
      <c r="CV202" s="23">
        <f t="shared" ca="1" si="223"/>
        <v>-1.7069749361996994E-2</v>
      </c>
      <c r="CW202" s="23">
        <f t="shared" ca="1" si="224"/>
        <v>-8.6661804453215512E-3</v>
      </c>
      <c r="CX202" s="24">
        <f t="shared" ca="1" si="225"/>
        <v>8.6661804453215512E-3</v>
      </c>
      <c r="CY202" s="24">
        <f t="shared" ca="1" si="226"/>
        <v>1.7069749361996994E-2</v>
      </c>
      <c r="CZ202" s="24">
        <f t="shared" ca="1" si="227"/>
        <v>3.3135395820347108E-2</v>
      </c>
      <c r="DA202" s="24">
        <f t="shared" ca="1" si="228"/>
        <v>6.258908099398898E-2</v>
      </c>
      <c r="DB202" s="24">
        <f t="shared" ca="1" si="229"/>
        <v>0.11266034578918016</v>
      </c>
      <c r="DC202" s="24">
        <f t="shared" ca="1" si="230"/>
        <v>0.18776724298196693</v>
      </c>
      <c r="DD202" s="24">
        <f t="shared" ca="1" si="231"/>
        <v>0.2816508644729504</v>
      </c>
      <c r="DF202" s="19" cm="1">
        <f t="array" aca="1" ref="DF202" ca="1">MAX(_xlfn._xlws.FILTER(CQ202:DD202,CQ202:DD202&lt;BJ202))</f>
        <v>-8.6661804453215512E-3</v>
      </c>
      <c r="DG202" s="19" cm="1">
        <f t="array" aca="1" ref="DG202" ca="1">MIN(_xlfn._xlws.FILTER(CQ202:DD202,CQ202:DD202&gt;BJ202))</f>
        <v>8.6661804453215512E-3</v>
      </c>
      <c r="DH202" s="2" cm="1">
        <f t="array" aca="1" ref="DH202" ca="1">_FV(EE202,"Fechamento anterior",TRUE)</f>
        <v>7.7</v>
      </c>
      <c r="DI202" s="36">
        <f t="shared" ca="1" si="251"/>
        <v>0.87464639321074611</v>
      </c>
      <c r="DJ202" s="18">
        <f t="shared" ca="1" si="232"/>
        <v>7.6332704105710238</v>
      </c>
      <c r="DK202" s="18">
        <f t="shared" ca="1" si="233"/>
        <v>7.7667295894289765</v>
      </c>
      <c r="DL202" s="9"/>
      <c r="DM202" s="9"/>
      <c r="DN202" s="9"/>
      <c r="DO202" s="9"/>
      <c r="DP202" s="79">
        <v>2.5310141481230938E-2</v>
      </c>
      <c r="DQ202" s="79">
        <v>1.5213946117274172E-2</v>
      </c>
      <c r="DR202" s="79">
        <v>8.3449096392259024E-3</v>
      </c>
      <c r="DS202" s="79">
        <f t="shared" ca="1" si="252"/>
        <v>1.7332360890643102E-2</v>
      </c>
      <c r="DT202" s="47"/>
      <c r="DU202" s="43">
        <f t="shared" si="253"/>
        <v>0.17512495538900225</v>
      </c>
      <c r="DV202" s="83">
        <f t="shared" ca="1" si="254"/>
        <v>1.5175999999999998</v>
      </c>
      <c r="DW202" s="83">
        <f t="shared" ca="1" si="255"/>
        <v>0.44209999999999994</v>
      </c>
      <c r="DX202" s="83">
        <f t="shared" ca="1" si="234"/>
        <v>1.0754999999999999</v>
      </c>
      <c r="DY202" s="67"/>
      <c r="DZ202" s="67"/>
      <c r="EA202" s="85"/>
      <c r="EB202" s="44">
        <v>8700</v>
      </c>
      <c r="EC202" s="44" cm="1">
        <f t="array" aca="1" ref="EC202" ca="1">_FV(EE202,"Volume")</f>
        <v>6200</v>
      </c>
      <c r="EE202" s="2" t="e" vm="204">
        <v>#VALUE!</v>
      </c>
      <c r="EG202" s="10" cm="1">
        <f t="array" aca="1" ref="EG202" ca="1">_FV(EE202,"Ações em circulação",TRUE)</f>
        <v>139297900</v>
      </c>
      <c r="EH202" s="21">
        <f>VLOOKUP(BH202,Fundamentus!A:U,5,FALSE)</f>
        <v>0.68700000000000006</v>
      </c>
      <c r="EI202" s="2">
        <f t="shared" ca="1" si="256"/>
        <v>1571410080.058224</v>
      </c>
      <c r="EJ202" s="20">
        <v>75328330.173216879</v>
      </c>
      <c r="EK202" s="20">
        <f t="shared" ca="1" si="257"/>
        <v>76213388.88282387</v>
      </c>
      <c r="EM202" s="40" t="str">
        <f>IF(VLOOKUP(BH202,Fundamentus!A:U,3,FALSE)&lt;15,"Bom",IF(VLOOKUP(BH202,Fundamentus!A:U,3,FALSE)&gt;15,"Ruim","n/a"))</f>
        <v>Bom</v>
      </c>
      <c r="EN202" s="36" t="str">
        <f>IF(VLOOKUP(BH202,Fundamentus!A:U,4,FALSE)&lt;1,"Baixo",IF(VLOOKUP(BH202,Fundamentus!A:U,4,FALSE)&lt;1.5,"Moderado",IF(VLOOKUP(BH202,Fundamentus!A:U,4,FALSE)&gt;1.5,"Alto","n/a")))</f>
        <v>Baixo</v>
      </c>
      <c r="EO202" s="20" t="str">
        <f>IF(VLOOKUP(BH202,Fundamentus!A:U,8,FALSE)&lt;0,"Risco elevado",IF(VLOOKUP(BH202,Fundamentus!A:U,8,FALSE)&lt;1,"Saudável",IF(VLOOKUP(BH202,Fundamentus!A:U,8,FALSE)&lt;3,"Estável",IF(VLOOKUP(BH202,Fundamentus!A:U,8,FALSE)&gt;3,"Alerta","n/a"))))</f>
        <v>Estável</v>
      </c>
      <c r="EP202" s="36" t="str">
        <f t="shared" si="258"/>
        <v>Ruim</v>
      </c>
      <c r="EQ202" s="20" t="str">
        <f>IF(VLOOKUP(BH202,Fundamentus!A:U,12,FALSE)&lt;2,"Subvalorizada",IF(VLOOKUP(BH202,Fundamentus!A:U,12,FALSE)&lt;6,"Muita barata",IF(VLOOKUP(BH202,Fundamentus!A:U,12,FALSE)&lt;6,"Barata",IF(VLOOKUP(BH202,Fundamentus!A:U,12,FALSE)&lt;8,"Atrativa",IF(VLOOKUP(BH202,Fundamentus!A:U,12,FALSE)&gt;8,"Supervalorizada","n/a")))))</f>
        <v>Supervalorizada</v>
      </c>
      <c r="ES202" s="20" t="str">
        <f>IF(VLOOKUP(BH202,Fundamentus!A:U,17,FALSE)&lt;0.1,"Fraco retorno",IF(VLOOKUP(BH202,Fundamentus!A:U,17,FALSE)&gt;0.1,"Bom retorno","n/a"))</f>
        <v>Fraco retorno</v>
      </c>
      <c r="ET202" s="20" t="str">
        <f>IF(VLOOKUP(BH202,Fundamentus!A:U,16,FALSE)&lt;0.1,"Ineficiente",IF(VLOOKUP(BH202,Fundamentus!A:U,16,FALSE)&gt;0.1,"Eficiente","n/a"))</f>
        <v>Ineficiente</v>
      </c>
      <c r="EU202" s="41" t="str">
        <f>IF(VLOOKUP(BH202,Fundamentus!A:U,16,FALSE)&lt;0.1,"Oper. Ineficiente",IF(VLOOKUP(BH202,Fundamentus!A:U,16,FALSE)&gt;0.1,"Oper.Eficiente","n/a"))</f>
        <v>Oper. Ineficiente</v>
      </c>
      <c r="EV202" s="42">
        <f>VLOOKUP(BH202,Fundamentus!A:U,14,FALSE)</f>
        <v>4.8500000000000001E-2</v>
      </c>
      <c r="EW202" s="20" t="str">
        <f>IF(VLOOKUP(BH202,Fundamentus!A:U,21,FALSE)&lt;0,"Negativo",IF(VLOOKUP(BH202,Fundamentus!A:U,21,FALSE)&lt;0.05,"Fraco",IF(VLOOKUP(BH202,Fundamentus!A:U,21,FALSE)&lt;0.1,"Bom",IF(VLOOKUP(BH202,Fundamentus!A:U,21,FALSE)&gt;0.1,"Muito bom","n/a"))))</f>
        <v>Negativo</v>
      </c>
      <c r="EY202" s="37" t="str">
        <f>IF(VLOOKUP(BH202,Fundamentus!A:U,15,FALSE)&gt;1,"Bom",IF(VLOOKUP(BH202,Fundamentus!A:U,15,FALSE)&lt;1,"Ruim","n/a"))</f>
        <v>Bom</v>
      </c>
      <c r="EZ202" s="20" t="str">
        <f>IF(VLOOKUP(BH202,Fundamentus!A:U,20,FALSE)&lt;0.5,"Baixa",IF(VLOOKUP(BH202,Fundamentus!A:U,20,FALSE)&lt;1,"Moderada",IF(VLOOKUP(BH202,Fundamentus!A:U,20,FALSE)&lt;2,"Alerta",IF(VLOOKUP(BH202,Fundamentus!A:U,20,FALSE)&gt;2,"Alta","n/a"))))</f>
        <v>Moderada</v>
      </c>
      <c r="FA202" s="10"/>
    </row>
    <row r="203" spans="1:157" s="5" customFormat="1" ht="11.25" hidden="1" x14ac:dyDescent="0.2">
      <c r="A203" s="4">
        <v>12.38</v>
      </c>
      <c r="B203" s="4">
        <v>12.24</v>
      </c>
      <c r="C203" s="4">
        <v>12.39</v>
      </c>
      <c r="D203" s="4">
        <v>12.26</v>
      </c>
      <c r="E203" s="4">
        <v>11.63</v>
      </c>
      <c r="F203" s="4">
        <v>12.22</v>
      </c>
      <c r="G203" s="4">
        <v>11.55</v>
      </c>
      <c r="H203" s="4">
        <v>11.32</v>
      </c>
      <c r="I203" s="4">
        <v>12</v>
      </c>
      <c r="J203" s="4">
        <v>13.2</v>
      </c>
      <c r="K203" s="4">
        <v>13.31</v>
      </c>
      <c r="L203" s="4">
        <v>13.7</v>
      </c>
      <c r="M203" s="4">
        <v>13.61</v>
      </c>
      <c r="N203" s="4">
        <v>15.42</v>
      </c>
      <c r="O203" s="4">
        <v>16.43</v>
      </c>
      <c r="P203" s="4">
        <v>16.95</v>
      </c>
      <c r="Q203" s="4">
        <v>17.600000000000001</v>
      </c>
      <c r="R203" s="4">
        <v>17.29</v>
      </c>
      <c r="S203" s="4">
        <v>18.170000000000002</v>
      </c>
      <c r="T203" s="4">
        <v>17.89</v>
      </c>
      <c r="U203" s="4">
        <v>16.82</v>
      </c>
      <c r="V203" s="4">
        <v>16.78</v>
      </c>
      <c r="W203" s="4">
        <v>15</v>
      </c>
      <c r="X203" s="4">
        <v>14.8</v>
      </c>
      <c r="Y203" s="4">
        <v>13.72</v>
      </c>
      <c r="Z203" s="4">
        <v>13.95</v>
      </c>
      <c r="AA203" s="4">
        <v>13.64</v>
      </c>
      <c r="AB203" s="4">
        <v>13.6</v>
      </c>
      <c r="AC203" s="4">
        <v>13.24</v>
      </c>
      <c r="AD203" s="4">
        <v>13.45</v>
      </c>
      <c r="AE203" s="4">
        <v>12.31</v>
      </c>
      <c r="AF203" s="4">
        <v>11.06</v>
      </c>
      <c r="AG203" s="4">
        <v>10.95</v>
      </c>
      <c r="AH203" s="4">
        <v>11</v>
      </c>
      <c r="AI203" s="4">
        <v>10.82</v>
      </c>
      <c r="AJ203" s="4">
        <v>10.49</v>
      </c>
      <c r="AK203" s="4">
        <v>10.9</v>
      </c>
      <c r="AL203" s="4">
        <v>10.88</v>
      </c>
      <c r="AM203" s="4">
        <v>10.64</v>
      </c>
      <c r="AN203" s="4">
        <v>11.54</v>
      </c>
      <c r="AO203" s="4">
        <v>10.6</v>
      </c>
      <c r="AP203" s="4">
        <v>10.87</v>
      </c>
      <c r="AQ203" s="4">
        <v>10.57</v>
      </c>
      <c r="AR203" s="4">
        <v>9.84</v>
      </c>
      <c r="AS203" s="4">
        <v>10.86</v>
      </c>
      <c r="AT203" s="4">
        <v>11.19</v>
      </c>
      <c r="AU203" s="4">
        <v>11.76</v>
      </c>
      <c r="AV203" s="4">
        <v>11.95</v>
      </c>
      <c r="AW203" s="4">
        <v>11.73</v>
      </c>
      <c r="AX203" s="4">
        <v>11.49</v>
      </c>
      <c r="AY203" s="12">
        <v>11.27</v>
      </c>
      <c r="AZ203" s="12">
        <v>11.07</v>
      </c>
      <c r="BA203" s="12">
        <v>10.61</v>
      </c>
      <c r="BB203" s="18">
        <v>11.43</v>
      </c>
      <c r="BC203" s="63">
        <v>10.98</v>
      </c>
      <c r="BD203" s="63">
        <v>11.04</v>
      </c>
      <c r="BE203" s="63">
        <v>12.29</v>
      </c>
      <c r="BF203" s="63">
        <v>11.47</v>
      </c>
      <c r="BG203" s="91" cm="1">
        <f t="array" aca="1" ref="BG203" ca="1">_FV(EE203,"Preço")</f>
        <v>11.8</v>
      </c>
      <c r="BH203" s="93" t="s">
        <v>200</v>
      </c>
      <c r="BI203" s="32" cm="1">
        <f t="array" aca="1" ref="BI203" ca="1">_FV(EE203,"Beta")</f>
        <v>2.0825999999999998</v>
      </c>
      <c r="BJ203" s="96" cm="1">
        <f t="array" aca="1" ref="BJ203" ca="1">_FV(EE203,"Variação (%)",TRUE)</f>
        <v>-5.0590000000000001E-3</v>
      </c>
      <c r="BK203" s="49"/>
      <c r="BL203" s="49"/>
      <c r="BN203" s="32"/>
      <c r="BO203" s="20" cm="1">
        <f t="array" aca="1" ref="BO203" ca="1">_FV(EE203,"Baixo")</f>
        <v>11.57</v>
      </c>
      <c r="BP203" s="20" cm="1">
        <f t="array" aca="1" ref="BP203" ca="1">_FV(EE203,"Alto")</f>
        <v>11.91</v>
      </c>
      <c r="BQ203" s="32"/>
      <c r="BR203" s="74">
        <f ca="1">SQRT(22.5*(BG203/VLOOKUP(BH203,Fundamentus!A:U,3,FALSE))*(BG203/VLOOKUP(BH203,Fundamentus!A:U,4,FALSE)))</f>
        <v>24.934276888609578</v>
      </c>
      <c r="BT203" s="73">
        <f t="shared" ca="1" si="235"/>
        <v>2.8770706190061033E-2</v>
      </c>
      <c r="BU203" s="36">
        <f t="shared" si="236"/>
        <v>-7.2697899838450424E-3</v>
      </c>
      <c r="BV203" s="8"/>
      <c r="BW203" s="72">
        <f t="shared" si="237"/>
        <v>9.84</v>
      </c>
      <c r="BX203" s="72">
        <f t="shared" si="238"/>
        <v>12.727068965517244</v>
      </c>
      <c r="BY203" s="72">
        <f t="shared" si="239"/>
        <v>18.170000000000002</v>
      </c>
      <c r="BZ203" s="17"/>
      <c r="CA203" s="17"/>
      <c r="CB203" s="43">
        <f t="shared" si="240"/>
        <v>11.063044237700231</v>
      </c>
      <c r="CC203" s="18">
        <f t="shared" si="241"/>
        <v>12.109418931583832</v>
      </c>
      <c r="CD203" s="43">
        <f t="shared" si="242"/>
        <v>13.155793625467433</v>
      </c>
      <c r="CE203" s="98">
        <f t="shared" ca="1" si="243"/>
        <v>-0.29570567158445743</v>
      </c>
      <c r="CF203" s="17"/>
      <c r="CG203" s="20">
        <f t="shared" si="244"/>
        <v>-0.17999999999999972</v>
      </c>
      <c r="CH203" s="20">
        <f t="shared" si="245"/>
        <v>4.83</v>
      </c>
      <c r="CI203" s="20">
        <f t="shared" si="246"/>
        <v>8.1500000000000021</v>
      </c>
      <c r="CJ203" s="49">
        <f t="shared" si="247"/>
        <v>13.160000000000002</v>
      </c>
      <c r="CK203" s="20">
        <f t="shared" si="248"/>
        <v>16.480000000000004</v>
      </c>
      <c r="CL203" s="20">
        <f t="shared" si="249"/>
        <v>21.490000000000002</v>
      </c>
      <c r="CM203" s="20">
        <f t="shared" si="250"/>
        <v>24.810000000000006</v>
      </c>
      <c r="CN203" s="2" cm="1">
        <f t="array" aca="1" ref="CN203" ca="1">MAX(_xlfn._xlws.FILTER(CG203:CM203,CG203:CM203&lt;BG203))</f>
        <v>8.1500000000000021</v>
      </c>
      <c r="CO203" s="2" cm="1">
        <f t="array" aca="1" ref="CO203" ca="1">MIN(_xlfn._xlws.FILTER($CG203:$CM203,$CG203:$CM203&gt;BG203))</f>
        <v>13.160000000000002</v>
      </c>
      <c r="CP203" s="19">
        <f t="shared" ca="1" si="217"/>
        <v>0.61472392638036788</v>
      </c>
      <c r="CQ203" s="23">
        <f t="shared" ca="1" si="218"/>
        <v>-0.30736196319018394</v>
      </c>
      <c r="CR203" s="23">
        <f t="shared" ca="1" si="219"/>
        <v>-0.20490797546012263</v>
      </c>
      <c r="CS203" s="23">
        <f t="shared" ca="1" si="220"/>
        <v>-0.12294478527607358</v>
      </c>
      <c r="CT203" s="23">
        <f t="shared" ca="1" si="221"/>
        <v>-6.8302658486707538E-2</v>
      </c>
      <c r="CU203" s="23">
        <f t="shared" ca="1" si="222"/>
        <v>-3.6160230963551053E-2</v>
      </c>
      <c r="CV203" s="23">
        <f t="shared" ca="1" si="223"/>
        <v>-1.8627997769102057E-2</v>
      </c>
      <c r="CW203" s="23">
        <f t="shared" ca="1" si="224"/>
        <v>-9.4572911750825835E-3</v>
      </c>
      <c r="CX203" s="24">
        <f t="shared" ca="1" si="225"/>
        <v>9.4572911750825835E-3</v>
      </c>
      <c r="CY203" s="24">
        <f t="shared" ca="1" si="226"/>
        <v>1.8627997769102057E-2</v>
      </c>
      <c r="CZ203" s="24">
        <f t="shared" ca="1" si="227"/>
        <v>3.6160230963551053E-2</v>
      </c>
      <c r="DA203" s="24">
        <f t="shared" ca="1" si="228"/>
        <v>6.8302658486707538E-2</v>
      </c>
      <c r="DB203" s="24">
        <f t="shared" ca="1" si="229"/>
        <v>0.12294478527607358</v>
      </c>
      <c r="DC203" s="24">
        <f t="shared" ca="1" si="230"/>
        <v>0.20490797546012263</v>
      </c>
      <c r="DD203" s="24">
        <f t="shared" ca="1" si="231"/>
        <v>0.30736196319018394</v>
      </c>
      <c r="DF203" s="19" cm="1">
        <f t="array" aca="1" ref="DF203" ca="1">MAX(_xlfn._xlws.FILTER(CQ203:DD203,CQ203:DD203&lt;BJ203))</f>
        <v>-9.4572911750825835E-3</v>
      </c>
      <c r="DG203" s="19" cm="1">
        <f t="array" aca="1" ref="DG203" ca="1">MIN(_xlfn._xlws.FILTER(CQ203:DD203,CQ203:DD203&gt;BJ203))</f>
        <v>9.4572911750825835E-3</v>
      </c>
      <c r="DH203" s="2" cm="1">
        <f t="array" aca="1" ref="DH203" ca="1">_FV(EE203,"Fechamento anterior",TRUE)</f>
        <v>11.86</v>
      </c>
      <c r="DI203" s="36">
        <f t="shared" ca="1" si="251"/>
        <v>0.23253324716503615</v>
      </c>
      <c r="DJ203" s="18">
        <f t="shared" ca="1" si="232"/>
        <v>11.747836526663519</v>
      </c>
      <c r="DK203" s="18">
        <f t="shared" ca="1" si="233"/>
        <v>11.972163473336479</v>
      </c>
      <c r="DL203" s="9"/>
      <c r="DM203" s="9"/>
      <c r="DN203" s="9"/>
      <c r="DO203" s="9"/>
      <c r="DP203" s="79">
        <v>1.653831512986444E-2</v>
      </c>
      <c r="DQ203" s="79">
        <v>1.5329632562441194E-2</v>
      </c>
      <c r="DR203" s="79">
        <v>1.5329632562441194E-2</v>
      </c>
      <c r="DS203" s="79">
        <f t="shared" ca="1" si="252"/>
        <v>1.8914582350165167E-2</v>
      </c>
      <c r="DT203" s="47"/>
      <c r="DU203" s="43">
        <f t="shared" si="253"/>
        <v>0.52318734694180036</v>
      </c>
      <c r="DV203" s="83">
        <f t="shared" ca="1" si="254"/>
        <v>2.5086999999999997</v>
      </c>
      <c r="DW203" s="83">
        <f t="shared" ca="1" si="255"/>
        <v>2.5884999999999998</v>
      </c>
      <c r="DX203" s="83">
        <f t="shared" ca="1" si="234"/>
        <v>-7.9800000000000093E-2</v>
      </c>
      <c r="DY203" s="67"/>
      <c r="DZ203" s="67"/>
      <c r="EA203" s="85"/>
      <c r="EB203" s="44">
        <v>1742600</v>
      </c>
      <c r="EC203" s="44" cm="1">
        <f t="array" aca="1" ref="EC203" ca="1">_FV(EE203,"Volume")</f>
        <v>890100</v>
      </c>
      <c r="EE203" s="5" t="e" vm="205">
        <v>#VALUE!</v>
      </c>
      <c r="EG203" s="10" cm="1">
        <f t="array" aca="1" ref="EG203" ca="1">_FV(EE203,"Ações em circulação",TRUE)</f>
        <v>244013000</v>
      </c>
      <c r="EH203" s="21">
        <f>VLOOKUP(BH203,Fundamentus!A:U,5,FALSE)</f>
        <v>0.39900000000000002</v>
      </c>
      <c r="EI203" s="2">
        <f t="shared" ca="1" si="256"/>
        <v>7216424561.4035082</v>
      </c>
      <c r="EJ203" s="20">
        <v>549945368.98245609</v>
      </c>
      <c r="EK203" s="20">
        <f t="shared" ca="1" si="257"/>
        <v>565767685.61403501</v>
      </c>
      <c r="EL203" s="2"/>
      <c r="EM203" s="40" t="str">
        <f>IF(VLOOKUP(BH203,Fundamentus!A:U,3,FALSE)&lt;15,"Bom",IF(VLOOKUP(BH203,Fundamentus!A:U,3,FALSE)&gt;15,"Ruim","n/a"))</f>
        <v>Bom</v>
      </c>
      <c r="EN203" s="36" t="str">
        <f>IF(VLOOKUP(BH203,Fundamentus!A:U,4,FALSE)&lt;1,"Baixo",IF(VLOOKUP(BH203,Fundamentus!A:U,4,FALSE)&lt;1.5,"Moderado",IF(VLOOKUP(BH203,Fundamentus!A:U,4,FALSE)&gt;1.5,"Alto","n/a")))</f>
        <v>Baixo</v>
      </c>
      <c r="EO203" s="20" t="str">
        <f>IF(VLOOKUP(BH203,Fundamentus!A:U,8,FALSE)&lt;0,"Risco elevado",IF(VLOOKUP(BH203,Fundamentus!A:U,8,FALSE)&lt;1,"Saudável",IF(VLOOKUP(BH203,Fundamentus!A:U,8,FALSE)&lt;3,"Estável",IF(VLOOKUP(BH203,Fundamentus!A:U,8,FALSE)&gt;3,"Alerta","n/a"))))</f>
        <v>Estável</v>
      </c>
      <c r="EP203" s="36" t="str">
        <f t="shared" si="258"/>
        <v>Ruim</v>
      </c>
      <c r="EQ203" s="20" t="str">
        <f>IF(VLOOKUP(BH203,Fundamentus!A:U,12,FALSE)&lt;2,"Subvalorizada",IF(VLOOKUP(BH203,Fundamentus!A:U,12,FALSE)&lt;6,"Muita barata",IF(VLOOKUP(BH203,Fundamentus!A:U,12,FALSE)&lt;6,"Barata",IF(VLOOKUP(BH203,Fundamentus!A:U,12,FALSE)&lt;8,"Atrativa",IF(VLOOKUP(BH203,Fundamentus!A:U,12,FALSE)&gt;8,"Supervalorizada","n/a")))))</f>
        <v>Muita barata</v>
      </c>
      <c r="ER203" s="2"/>
      <c r="ES203" s="20" t="str">
        <f>IF(VLOOKUP(BH203,Fundamentus!A:U,17,FALSE)&lt;0.1,"Fraco retorno",IF(VLOOKUP(BH203,Fundamentus!A:U,17,FALSE)&gt;0.1,"Bom retorno","n/a"))</f>
        <v>Bom retorno</v>
      </c>
      <c r="ET203" s="20" t="str">
        <f>IF(VLOOKUP(BH203,Fundamentus!A:U,16,FALSE)&lt;0.1,"Ineficiente",IF(VLOOKUP(BH203,Fundamentus!A:U,16,FALSE)&gt;0.1,"Eficiente","n/a"))</f>
        <v>Ineficiente</v>
      </c>
      <c r="EU203" s="41" t="str">
        <f>IF(VLOOKUP(BH203,Fundamentus!A:U,16,FALSE)&lt;0.1,"Oper. Ineficiente",IF(VLOOKUP(BH203,Fundamentus!A:U,16,FALSE)&gt;0.1,"Oper.Eficiente","n/a"))</f>
        <v>Oper. Ineficiente</v>
      </c>
      <c r="EV203" s="42">
        <f>VLOOKUP(BH203,Fundamentus!A:U,14,FALSE)</f>
        <v>7.8399999999999997E-2</v>
      </c>
      <c r="EW203" s="20" t="str">
        <f>IF(VLOOKUP(BH203,Fundamentus!A:U,21,FALSE)&lt;0,"Negativo",IF(VLOOKUP(BH203,Fundamentus!A:U,21,FALSE)&lt;0.05,"Fraco",IF(VLOOKUP(BH203,Fundamentus!A:U,21,FALSE)&lt;0.1,"Bom",IF(VLOOKUP(BH203,Fundamentus!A:U,21,FALSE)&gt;0.1,"Muito bom","n/a"))))</f>
        <v>Muito bom</v>
      </c>
      <c r="EY203" s="37" t="str">
        <f>IF(VLOOKUP(BH203,Fundamentus!A:U,15,FALSE)&gt;1,"Bom",IF(VLOOKUP(BH203,Fundamentus!A:U,15,FALSE)&lt;1,"Ruim","n/a"))</f>
        <v>Bom</v>
      </c>
      <c r="EZ203" s="20" t="str">
        <f>IF(VLOOKUP(BH203,Fundamentus!A:U,20,FALSE)&lt;0.5,"Baixa",IF(VLOOKUP(BH203,Fundamentus!A:U,20,FALSE)&lt;1,"Moderada",IF(VLOOKUP(BH203,Fundamentus!A:U,20,FALSE)&lt;2,"Alerta",IF(VLOOKUP(BH203,Fundamentus!A:U,20,FALSE)&gt;2,"Alta","n/a"))))</f>
        <v>Moderada</v>
      </c>
      <c r="FA203" s="10"/>
    </row>
    <row r="204" spans="1:157" s="2" customFormat="1" ht="11.25" hidden="1" x14ac:dyDescent="0.2">
      <c r="A204" s="4">
        <v>4.42</v>
      </c>
      <c r="B204" s="4">
        <v>4.54</v>
      </c>
      <c r="C204" s="4">
        <v>4.59</v>
      </c>
      <c r="D204" s="4">
        <v>4.24</v>
      </c>
      <c r="E204" s="4">
        <v>4.1399999999999997</v>
      </c>
      <c r="F204" s="4">
        <v>3.95</v>
      </c>
      <c r="G204" s="4">
        <v>4.43</v>
      </c>
      <c r="H204" s="4">
        <v>4.7699999999999996</v>
      </c>
      <c r="I204" s="4">
        <v>4.53</v>
      </c>
      <c r="J204" s="4">
        <v>5.21</v>
      </c>
      <c r="K204" s="4">
        <v>5.97</v>
      </c>
      <c r="L204" s="4">
        <v>6.06</v>
      </c>
      <c r="M204" s="4">
        <v>5.29</v>
      </c>
      <c r="N204" s="4">
        <v>5.27</v>
      </c>
      <c r="O204" s="4">
        <v>5.54</v>
      </c>
      <c r="P204" s="4">
        <v>5.91</v>
      </c>
      <c r="Q204" s="4">
        <v>5.75</v>
      </c>
      <c r="R204" s="4">
        <v>5.43</v>
      </c>
      <c r="S204" s="4">
        <v>5.16</v>
      </c>
      <c r="T204" s="4">
        <v>5.08</v>
      </c>
      <c r="U204" s="4">
        <v>4.92</v>
      </c>
      <c r="V204" s="4">
        <v>5.07</v>
      </c>
      <c r="W204" s="4">
        <v>4.8499999999999996</v>
      </c>
      <c r="X204" s="4">
        <v>5.46</v>
      </c>
      <c r="Y204" s="4">
        <v>5.46</v>
      </c>
      <c r="Z204" s="4">
        <v>5.89</v>
      </c>
      <c r="AA204" s="4">
        <v>5.25</v>
      </c>
      <c r="AB204" s="4">
        <v>5.24</v>
      </c>
      <c r="AC204" s="4">
        <v>5.6</v>
      </c>
      <c r="AD204" s="4">
        <v>5.74</v>
      </c>
      <c r="AE204" s="4">
        <v>5.9</v>
      </c>
      <c r="AF204" s="4">
        <v>5.5</v>
      </c>
      <c r="AG204" s="4">
        <v>5.49</v>
      </c>
      <c r="AH204" s="4">
        <v>5.39</v>
      </c>
      <c r="AI204" s="4">
        <v>5.46</v>
      </c>
      <c r="AJ204" s="4">
        <v>5.37</v>
      </c>
      <c r="AK204" s="4">
        <v>5.67</v>
      </c>
      <c r="AL204" s="4">
        <v>5.42</v>
      </c>
      <c r="AM204" s="4">
        <v>5.55</v>
      </c>
      <c r="AN204" s="4">
        <v>5.34</v>
      </c>
      <c r="AO204" s="4">
        <v>5.49</v>
      </c>
      <c r="AP204" s="4">
        <v>5.44</v>
      </c>
      <c r="AQ204" s="4">
        <v>5.83</v>
      </c>
      <c r="AR204" s="4">
        <v>5.26</v>
      </c>
      <c r="AS204" s="4">
        <v>5.47</v>
      </c>
      <c r="AT204" s="4">
        <v>5.31</v>
      </c>
      <c r="AU204" s="4">
        <v>5.46</v>
      </c>
      <c r="AV204" s="4">
        <v>5.66</v>
      </c>
      <c r="AW204" s="4">
        <v>5.95</v>
      </c>
      <c r="AX204" s="4">
        <v>5.87</v>
      </c>
      <c r="AY204" s="12">
        <v>6.21</v>
      </c>
      <c r="AZ204" s="12">
        <v>6.11</v>
      </c>
      <c r="BA204" s="12">
        <v>5.82</v>
      </c>
      <c r="BB204" s="18">
        <v>5.76</v>
      </c>
      <c r="BC204" s="63">
        <v>5.99</v>
      </c>
      <c r="BD204" s="63">
        <v>6.21</v>
      </c>
      <c r="BE204" s="63">
        <v>6.39</v>
      </c>
      <c r="BF204" s="63">
        <v>6.55</v>
      </c>
      <c r="BG204" s="91" cm="1">
        <f t="array" aca="1" ref="BG204" ca="1">_FV(EE204,"Preço")</f>
        <v>6.87</v>
      </c>
      <c r="BH204" s="95" t="s">
        <v>201</v>
      </c>
      <c r="BI204" s="32" cm="1">
        <f t="array" aca="1" ref="BI204" ca="1">_FV(EE204,"Beta")</f>
        <v>0.71740000000000004</v>
      </c>
      <c r="BJ204" s="96" cm="1">
        <f t="array" aca="1" ref="BJ204" ca="1">_FV(EE204,"Variação (%)",TRUE)</f>
        <v>1.4771000000000001E-2</v>
      </c>
      <c r="BK204" s="72"/>
      <c r="BL204" s="72"/>
      <c r="BN204" s="32"/>
      <c r="BO204" s="20" cm="1">
        <f t="array" aca="1" ref="BO204" ca="1">_FV(EE204,"Baixo")</f>
        <v>6.7</v>
      </c>
      <c r="BP204" s="20" cm="1">
        <f t="array" aca="1" ref="BP204" ca="1">_FV(EE204,"Alto")</f>
        <v>6.87</v>
      </c>
      <c r="BQ204" s="32"/>
      <c r="BR204" s="74">
        <f ca="1">SQRT(22.5*(BG204/VLOOKUP(BH204,Fundamentus!A:U,3,FALSE))*(BG204/VLOOKUP(BH204,Fundamentus!A:U,4,FALSE)))</f>
        <v>13.073453584675219</v>
      </c>
      <c r="BT204" s="73">
        <f t="shared" ca="1" si="235"/>
        <v>4.8854961832061117E-2</v>
      </c>
      <c r="BU204" s="36">
        <f t="shared" si="236"/>
        <v>0.44570135746606332</v>
      </c>
      <c r="BV204" s="8"/>
      <c r="BW204" s="72">
        <f t="shared" si="237"/>
        <v>3.95</v>
      </c>
      <c r="BX204" s="72">
        <f t="shared" si="238"/>
        <v>5.4074137931034469</v>
      </c>
      <c r="BY204" s="72">
        <f t="shared" si="239"/>
        <v>6.55</v>
      </c>
      <c r="BZ204" s="17"/>
      <c r="CA204" s="17"/>
      <c r="CB204" s="43">
        <f t="shared" si="240"/>
        <v>6.3208031181641857</v>
      </c>
      <c r="CC204" s="18">
        <f t="shared" si="241"/>
        <v>6.7378163074040458</v>
      </c>
      <c r="CD204" s="43">
        <f t="shared" si="242"/>
        <v>7.1548294966439059</v>
      </c>
      <c r="CE204" s="98">
        <f t="shared" ca="1" si="243"/>
        <v>0.31697724677941569</v>
      </c>
      <c r="CF204" s="17"/>
      <c r="CG204" s="20">
        <f t="shared" si="244"/>
        <v>2.2166666666666677</v>
      </c>
      <c r="CH204" s="20">
        <f t="shared" si="245"/>
        <v>3.0833333333333339</v>
      </c>
      <c r="CI204" s="20">
        <f t="shared" si="246"/>
        <v>4.8166666666666673</v>
      </c>
      <c r="CJ204" s="49">
        <f t="shared" si="247"/>
        <v>5.6833333333333336</v>
      </c>
      <c r="CK204" s="20">
        <f t="shared" si="248"/>
        <v>7.416666666666667</v>
      </c>
      <c r="CL204" s="20">
        <f t="shared" si="249"/>
        <v>8.2833333333333332</v>
      </c>
      <c r="CM204" s="20">
        <f t="shared" si="250"/>
        <v>10.016666666666666</v>
      </c>
      <c r="CN204" s="2" cm="1">
        <f t="array" aca="1" ref="CN204" ca="1">MAX(_xlfn._xlws.FILTER(CG204:CM204,CG204:CM204&lt;BG204))</f>
        <v>5.6833333333333336</v>
      </c>
      <c r="CO204" s="2" cm="1">
        <f t="array" aca="1" ref="CO204" ca="1">MIN(_xlfn._xlws.FILTER($CG204:$CM204,$CG204:$CM204&gt;BG204))</f>
        <v>7.416666666666667</v>
      </c>
      <c r="CP204" s="19">
        <f t="shared" ca="1" si="217"/>
        <v>0.30498533724340171</v>
      </c>
      <c r="CQ204" s="23">
        <f t="shared" ca="1" si="218"/>
        <v>-0.15249266862170086</v>
      </c>
      <c r="CR204" s="23">
        <f t="shared" ca="1" si="219"/>
        <v>-0.1016617790811339</v>
      </c>
      <c r="CS204" s="23">
        <f t="shared" ca="1" si="220"/>
        <v>-6.0997067448680345E-2</v>
      </c>
      <c r="CT204" s="23">
        <f t="shared" ca="1" si="221"/>
        <v>-3.38872596937113E-2</v>
      </c>
      <c r="CU204" s="23">
        <f t="shared" ca="1" si="222"/>
        <v>-1.7940313955494218E-2</v>
      </c>
      <c r="CV204" s="23">
        <f t="shared" ca="1" si="223"/>
        <v>-9.2419799164667193E-3</v>
      </c>
      <c r="CW204" s="23">
        <f t="shared" ca="1" si="224"/>
        <v>-4.6920821114369493E-3</v>
      </c>
      <c r="CX204" s="24">
        <f t="shared" ca="1" si="225"/>
        <v>4.6920821114369493E-3</v>
      </c>
      <c r="CY204" s="24">
        <f t="shared" ca="1" si="226"/>
        <v>9.2419799164667193E-3</v>
      </c>
      <c r="CZ204" s="24">
        <f t="shared" ca="1" si="227"/>
        <v>1.7940313955494218E-2</v>
      </c>
      <c r="DA204" s="24">
        <f t="shared" ca="1" si="228"/>
        <v>3.38872596937113E-2</v>
      </c>
      <c r="DB204" s="24">
        <f t="shared" ca="1" si="229"/>
        <v>6.0997067448680345E-2</v>
      </c>
      <c r="DC204" s="24">
        <f t="shared" ca="1" si="230"/>
        <v>0.1016617790811339</v>
      </c>
      <c r="DD204" s="24">
        <f t="shared" ca="1" si="231"/>
        <v>0.15249266862170086</v>
      </c>
      <c r="DF204" s="19" cm="1">
        <f t="array" aca="1" ref="DF204" ca="1">MAX(_xlfn._xlws.FILTER(CQ204:DD204,CQ204:DD204&lt;BJ204))</f>
        <v>9.2419799164667193E-3</v>
      </c>
      <c r="DG204" s="19" cm="1">
        <f t="array" aca="1" ref="DG204" ca="1">MIN(_xlfn._xlws.FILTER(CQ204:DD204,CQ204:DD204&gt;BJ204))</f>
        <v>1.7940313955494218E-2</v>
      </c>
      <c r="DH204" s="2" cm="1">
        <f t="array" aca="1" ref="DH204" ca="1">_FV(EE204,"Fechamento anterior",TRUE)</f>
        <v>6.77</v>
      </c>
      <c r="DI204" s="36">
        <f t="shared" ca="1" si="251"/>
        <v>0.63564687251449947</v>
      </c>
      <c r="DJ204" s="18">
        <f t="shared" ca="1" si="232"/>
        <v>6.8325682040344793</v>
      </c>
      <c r="DK204" s="18">
        <f t="shared" ca="1" si="233"/>
        <v>6.8914559254786951</v>
      </c>
      <c r="DL204" s="9"/>
      <c r="DM204" s="9"/>
      <c r="DN204" s="9"/>
      <c r="DO204" s="9"/>
      <c r="DP204" s="79">
        <v>1.2233662962585382E-2</v>
      </c>
      <c r="DQ204" s="79">
        <v>7.1180193021798937E-3</v>
      </c>
      <c r="DR204" s="79">
        <v>3.9224070352475021E-3</v>
      </c>
      <c r="DS204" s="79">
        <f t="shared" ca="1" si="252"/>
        <v>8.6983340390274985E-3</v>
      </c>
      <c r="DT204" s="47"/>
      <c r="DU204" s="43">
        <f t="shared" si="253"/>
        <v>0.20850659461993026</v>
      </c>
      <c r="DV204" s="83">
        <f t="shared" ca="1" si="254"/>
        <v>1.1435</v>
      </c>
      <c r="DW204" s="83">
        <f t="shared" ca="1" si="255"/>
        <v>-0.75970000000000004</v>
      </c>
      <c r="DX204" s="83">
        <f t="shared" ca="1" si="234"/>
        <v>1.9032</v>
      </c>
      <c r="DY204" s="67"/>
      <c r="DZ204" s="67"/>
      <c r="EA204" s="44" cm="1">
        <f t="array" aca="1" ref="EA204" ca="1">_FV(EE204,"Média de volume",TRUE)</f>
        <v>97670</v>
      </c>
      <c r="EB204" s="44">
        <v>150300</v>
      </c>
      <c r="EC204" s="44" cm="1">
        <f t="array" aca="1" ref="EC204" ca="1">_FV(EE204,"Volume")</f>
        <v>35200</v>
      </c>
      <c r="EE204" s="2" t="e" vm="206">
        <v>#VALUE!</v>
      </c>
      <c r="EG204" s="10" cm="1">
        <f t="array" aca="1" ref="EG204" ca="1">_FV(EE204,"Ações em circulação",TRUE)</f>
        <v>61856210</v>
      </c>
      <c r="EH204" s="21">
        <f>VLOOKUP(BH204,Fundamentus!A:U,5,FALSE)</f>
        <v>0.96099999999999997</v>
      </c>
      <c r="EI204" s="2">
        <f t="shared" ca="1" si="256"/>
        <v>442197880.02081168</v>
      </c>
      <c r="EJ204" s="20">
        <v>63956810.846357964</v>
      </c>
      <c r="EK204" s="20">
        <f t="shared" ca="1" si="257"/>
        <v>67081418.399157129</v>
      </c>
      <c r="EM204" s="40" t="str">
        <f>IF(VLOOKUP(BH204,Fundamentus!A:U,3,FALSE)&lt;15,"Bom",IF(VLOOKUP(BH204,Fundamentus!A:U,3,FALSE)&gt;15,"Ruim","n/a"))</f>
        <v>Bom</v>
      </c>
      <c r="EN204" s="36" t="str">
        <f>IF(VLOOKUP(BH204,Fundamentus!A:U,4,FALSE)&lt;1,"Baixo",IF(VLOOKUP(BH204,Fundamentus!A:U,4,FALSE)&lt;1.5,"Moderado",IF(VLOOKUP(BH204,Fundamentus!A:U,4,FALSE)&gt;1.5,"Alto","n/a")))</f>
        <v>Baixo</v>
      </c>
      <c r="EO204" s="20" t="str">
        <f>IF(VLOOKUP(BH204,Fundamentus!A:U,8,FALSE)&lt;0,"Risco elevado",IF(VLOOKUP(BH204,Fundamentus!A:U,8,FALSE)&lt;1,"Saudável",IF(VLOOKUP(BH204,Fundamentus!A:U,8,FALSE)&lt;3,"Estável",IF(VLOOKUP(BH204,Fundamentus!A:U,8,FALSE)&gt;3,"Alerta","n/a"))))</f>
        <v>Estável</v>
      </c>
      <c r="EP204" s="36" t="str">
        <f t="shared" si="258"/>
        <v>Ruim</v>
      </c>
      <c r="EQ204" s="20" t="str">
        <f>IF(VLOOKUP(BH204,Fundamentus!A:U,12,FALSE)&lt;2,"Subvalorizada",IF(VLOOKUP(BH204,Fundamentus!A:U,12,FALSE)&lt;6,"Muita barata",IF(VLOOKUP(BH204,Fundamentus!A:U,12,FALSE)&lt;6,"Barata",IF(VLOOKUP(BH204,Fundamentus!A:U,12,FALSE)&lt;8,"Atrativa",IF(VLOOKUP(BH204,Fundamentus!A:U,12,FALSE)&gt;8,"Supervalorizada","n/a")))))</f>
        <v>Atrativa</v>
      </c>
      <c r="ES204" s="20" t="str">
        <f>IF(VLOOKUP(BH204,Fundamentus!A:U,17,FALSE)&lt;0.1,"Fraco retorno",IF(VLOOKUP(BH204,Fundamentus!A:U,17,FALSE)&gt;0.1,"Bom retorno","n/a"))</f>
        <v>Bom retorno</v>
      </c>
      <c r="ET204" s="20" t="str">
        <f>IF(VLOOKUP(BH204,Fundamentus!A:U,16,FALSE)&lt;0.1,"Ineficiente",IF(VLOOKUP(BH204,Fundamentus!A:U,16,FALSE)&gt;0.1,"Eficiente","n/a"))</f>
        <v>Eficiente</v>
      </c>
      <c r="EU204" s="41" t="str">
        <f>IF(VLOOKUP(BH204,Fundamentus!A:U,16,FALSE)&lt;0.1,"Oper. Ineficiente",IF(VLOOKUP(BH204,Fundamentus!A:U,16,FALSE)&gt;0.1,"Oper.Eficiente","n/a"))</f>
        <v>Oper.Eficiente</v>
      </c>
      <c r="EV204" s="42">
        <f>VLOOKUP(BH204,Fundamentus!A:U,14,FALSE)</f>
        <v>0.1517</v>
      </c>
      <c r="EW204" s="20" t="str">
        <f>IF(VLOOKUP(BH204,Fundamentus!A:U,21,FALSE)&lt;0,"Negativo",IF(VLOOKUP(BH204,Fundamentus!A:U,21,FALSE)&lt;0.05,"Fraco",IF(VLOOKUP(BH204,Fundamentus!A:U,21,FALSE)&lt;0.1,"Bom",IF(VLOOKUP(BH204,Fundamentus!A:U,21,FALSE)&gt;0.1,"Muito bom","n/a"))))</f>
        <v>Muito bom</v>
      </c>
      <c r="EY204" s="37" t="str">
        <f>IF(VLOOKUP(BH204,Fundamentus!A:U,15,FALSE)&gt;1,"Bom",IF(VLOOKUP(BH204,Fundamentus!A:U,15,FALSE)&lt;1,"Ruim","n/a"))</f>
        <v>Bom</v>
      </c>
      <c r="EZ204" s="20" t="str">
        <f>IF(VLOOKUP(BH204,Fundamentus!A:U,20,FALSE)&lt;0.5,"Baixa",IF(VLOOKUP(BH204,Fundamentus!A:U,20,FALSE)&lt;1,"Moderada",IF(VLOOKUP(BH204,Fundamentus!A:U,20,FALSE)&lt;2,"Alerta",IF(VLOOKUP(BH204,Fundamentus!A:U,20,FALSE)&gt;2,"Alta","n/a"))))</f>
        <v>Baixa</v>
      </c>
      <c r="FA204" s="10"/>
    </row>
    <row r="205" spans="1:157" s="2" customFormat="1" ht="11.25" hidden="1" x14ac:dyDescent="0.2">
      <c r="A205" s="4">
        <v>28.59</v>
      </c>
      <c r="B205" s="4">
        <v>29.18</v>
      </c>
      <c r="C205" s="4">
        <v>27.03</v>
      </c>
      <c r="D205" s="4">
        <v>26.81</v>
      </c>
      <c r="E205" s="4">
        <v>27.2</v>
      </c>
      <c r="F205" s="4">
        <v>28.25</v>
      </c>
      <c r="G205" s="4">
        <v>30.74</v>
      </c>
      <c r="H205" s="4">
        <v>32.369999999999997</v>
      </c>
      <c r="I205" s="4">
        <v>32.54</v>
      </c>
      <c r="J205" s="4">
        <v>32.630000000000003</v>
      </c>
      <c r="K205" s="4">
        <v>32.46</v>
      </c>
      <c r="L205" s="4">
        <v>31.82</v>
      </c>
      <c r="M205" s="4">
        <v>30.48</v>
      </c>
      <c r="N205" s="4">
        <v>28.45</v>
      </c>
      <c r="O205" s="4">
        <v>29.22</v>
      </c>
      <c r="P205" s="4">
        <v>29.22</v>
      </c>
      <c r="Q205" s="4">
        <v>29.35</v>
      </c>
      <c r="R205" s="4">
        <v>27.72</v>
      </c>
      <c r="S205" s="4">
        <v>26.53</v>
      </c>
      <c r="T205" s="4">
        <v>26.2</v>
      </c>
      <c r="U205" s="4">
        <v>27.11</v>
      </c>
      <c r="V205" s="4">
        <v>26.5</v>
      </c>
      <c r="W205" s="4">
        <v>27.84</v>
      </c>
      <c r="X205" s="4">
        <v>26.42</v>
      </c>
      <c r="Y205" s="4">
        <v>26.01</v>
      </c>
      <c r="Z205" s="4">
        <v>25.54</v>
      </c>
      <c r="AA205" s="4">
        <v>26.64</v>
      </c>
      <c r="AB205" s="4">
        <v>25.37</v>
      </c>
      <c r="AC205" s="4">
        <v>24.79</v>
      </c>
      <c r="AD205" s="4">
        <v>25.39</v>
      </c>
      <c r="AE205" s="4">
        <v>25.4</v>
      </c>
      <c r="AF205" s="4">
        <v>25.23</v>
      </c>
      <c r="AG205" s="4">
        <v>24.69</v>
      </c>
      <c r="AH205" s="4">
        <v>24.11</v>
      </c>
      <c r="AI205" s="4">
        <v>23.59</v>
      </c>
      <c r="AJ205" s="4">
        <v>24.2</v>
      </c>
      <c r="AK205" s="4">
        <v>24.27</v>
      </c>
      <c r="AL205" s="4">
        <v>22.99</v>
      </c>
      <c r="AM205" s="4">
        <v>22.69</v>
      </c>
      <c r="AN205" s="4">
        <v>22.69</v>
      </c>
      <c r="AO205" s="4">
        <v>22.41</v>
      </c>
      <c r="AP205" s="4">
        <v>22.83</v>
      </c>
      <c r="AQ205" s="4">
        <v>22.67</v>
      </c>
      <c r="AR205" s="4">
        <v>21.17</v>
      </c>
      <c r="AS205" s="4">
        <v>21.41</v>
      </c>
      <c r="AT205" s="4">
        <v>22.2</v>
      </c>
      <c r="AU205" s="4">
        <v>22.47</v>
      </c>
      <c r="AV205" s="4">
        <v>20.71</v>
      </c>
      <c r="AW205" s="4">
        <v>19</v>
      </c>
      <c r="AX205" s="4">
        <v>19.920000000000002</v>
      </c>
      <c r="AY205" s="12">
        <v>19.579999999999998</v>
      </c>
      <c r="AZ205" s="12">
        <v>20.100000000000001</v>
      </c>
      <c r="BA205" s="12">
        <v>19.510000000000002</v>
      </c>
      <c r="BB205" s="18">
        <v>19.29</v>
      </c>
      <c r="BC205" s="63">
        <v>20.07</v>
      </c>
      <c r="BD205" s="63">
        <v>20.97</v>
      </c>
      <c r="BE205" s="63">
        <v>21.16</v>
      </c>
      <c r="BF205" s="63">
        <v>19.95</v>
      </c>
      <c r="BG205" s="91" cm="1">
        <f t="array" aca="1" ref="BG205" ca="1">_FV(EE205,"Preço")</f>
        <v>20.18</v>
      </c>
      <c r="BH205" s="93" t="s">
        <v>202</v>
      </c>
      <c r="BI205" s="32" cm="1">
        <f t="array" aca="1" ref="BI205" ca="1">_FV(EE205,"Beta")</f>
        <v>0.34499999999999997</v>
      </c>
      <c r="BJ205" s="96" cm="1">
        <f t="array" aca="1" ref="BJ205" ca="1">_FV(EE205,"Variação (%)",TRUE)</f>
        <v>4.9580000000000002E-4</v>
      </c>
      <c r="BK205" s="49"/>
      <c r="BL205" s="49"/>
      <c r="BN205" s="32"/>
      <c r="BO205" s="20" cm="1">
        <f t="array" aca="1" ref="BO205" ca="1">_FV(EE205,"Baixo")</f>
        <v>19.36</v>
      </c>
      <c r="BP205" s="20" cm="1">
        <f t="array" aca="1" ref="BP205" ca="1">_FV(EE205,"Alto")</f>
        <v>20.45</v>
      </c>
      <c r="BQ205" s="32"/>
      <c r="BR205" s="74">
        <f ca="1">SQRT(22.5*(BG205/VLOOKUP(BH205,Fundamentus!A:U,3,FALSE))*(BG205/VLOOKUP(BH205,Fundamentus!A:U,4,FALSE)))</f>
        <v>38.501355783977608</v>
      </c>
      <c r="BT205" s="73">
        <f t="shared" ca="1" si="235"/>
        <v>1.1528822055137866E-2</v>
      </c>
      <c r="BU205" s="36">
        <f t="shared" si="236"/>
        <v>-0.25988107729975513</v>
      </c>
      <c r="BV205" s="8"/>
      <c r="BW205" s="72">
        <f t="shared" si="237"/>
        <v>19</v>
      </c>
      <c r="BX205" s="72">
        <f t="shared" si="238"/>
        <v>25.235862068965528</v>
      </c>
      <c r="BY205" s="72">
        <f t="shared" si="239"/>
        <v>32.630000000000003</v>
      </c>
      <c r="BZ205" s="17"/>
      <c r="CA205" s="17"/>
      <c r="CB205" s="43">
        <f t="shared" si="240"/>
        <v>19.462116218396091</v>
      </c>
      <c r="CC205" s="18">
        <f t="shared" si="241"/>
        <v>20.529015932521087</v>
      </c>
      <c r="CD205" s="43">
        <f t="shared" si="242"/>
        <v>21.595915646646084</v>
      </c>
      <c r="CE205" s="98">
        <f t="shared" ca="1" si="243"/>
        <v>-0.32713096451368739</v>
      </c>
      <c r="CF205" s="17"/>
      <c r="CG205" s="20">
        <f t="shared" si="244"/>
        <v>1.4599999999999937</v>
      </c>
      <c r="CH205" s="20">
        <f t="shared" si="245"/>
        <v>10.229999999999997</v>
      </c>
      <c r="CI205" s="20">
        <f t="shared" si="246"/>
        <v>15.089999999999996</v>
      </c>
      <c r="CJ205" s="49">
        <f t="shared" si="247"/>
        <v>23.86</v>
      </c>
      <c r="CK205" s="20">
        <f t="shared" si="248"/>
        <v>28.72</v>
      </c>
      <c r="CL205" s="20">
        <f t="shared" si="249"/>
        <v>37.49</v>
      </c>
      <c r="CM205" s="20">
        <f t="shared" si="250"/>
        <v>42.35</v>
      </c>
      <c r="CN205" s="2" cm="1">
        <f t="array" aca="1" ref="CN205" ca="1">MAX(_xlfn._xlws.FILTER(CG205:CM205,CG205:CM205&lt;BG205))</f>
        <v>15.089999999999996</v>
      </c>
      <c r="CO205" s="2" cm="1">
        <f t="array" aca="1" ref="CO205" ca="1">MIN(_xlfn._xlws.FILTER($CG205:$CM205,$CG205:$CM205&gt;BG205))</f>
        <v>23.86</v>
      </c>
      <c r="CP205" s="19">
        <f t="shared" ref="CP205:CP254" ca="1" si="259">(CO205/CN205)-1</f>
        <v>0.58117958913187584</v>
      </c>
      <c r="CQ205" s="23">
        <f t="shared" ref="CQ205:CQ254" ca="1" si="260">-$CP205/2</f>
        <v>-0.29058979456593792</v>
      </c>
      <c r="CR205" s="23">
        <f t="shared" ref="CR205:CR254" ca="1" si="261">-$CP205/3</f>
        <v>-0.19372652971062529</v>
      </c>
      <c r="CS205" s="23">
        <f t="shared" ref="CS205:CS254" ca="1" si="262">-$CP205/5</f>
        <v>-0.11623591782637517</v>
      </c>
      <c r="CT205" s="23">
        <f t="shared" ref="CT205:CT254" ca="1" si="263">-$CP205/9</f>
        <v>-6.4575509903541758E-2</v>
      </c>
      <c r="CU205" s="23">
        <f t="shared" ref="CU205:CU254" ca="1" si="264">-$CP205/17</f>
        <v>-3.4187034654816227E-2</v>
      </c>
      <c r="CV205" s="23">
        <f t="shared" ref="CV205:CV254" ca="1" si="265">-$CP205/33</f>
        <v>-1.7611502700965936E-2</v>
      </c>
      <c r="CW205" s="23">
        <f t="shared" ref="CW205:CW254" ca="1" si="266">-$CP205/65</f>
        <v>-8.9412244481827056E-3</v>
      </c>
      <c r="CX205" s="24">
        <f t="shared" ref="CX205:CX254" ca="1" si="267">-$CP205/65*-1</f>
        <v>8.9412244481827056E-3</v>
      </c>
      <c r="CY205" s="24">
        <f t="shared" ref="CY205:CY254" ca="1" si="268">-$CP205/33*-1</f>
        <v>1.7611502700965936E-2</v>
      </c>
      <c r="CZ205" s="24">
        <f t="shared" ref="CZ205:CZ254" ca="1" si="269">-$CP205/17*-1</f>
        <v>3.4187034654816227E-2</v>
      </c>
      <c r="DA205" s="24">
        <f t="shared" ref="DA205:DA254" ca="1" si="270">-$CP205/9*-1</f>
        <v>6.4575509903541758E-2</v>
      </c>
      <c r="DB205" s="24">
        <f t="shared" ref="DB205:DB254" ca="1" si="271">-$CP205/5*-1</f>
        <v>0.11623591782637517</v>
      </c>
      <c r="DC205" s="24">
        <f t="shared" ref="DC205:DC254" ca="1" si="272">-$CP205/3*-1</f>
        <v>0.19372652971062529</v>
      </c>
      <c r="DD205" s="24">
        <f t="shared" ref="DD205:DD254" ca="1" si="273">-$CP205/2*-1</f>
        <v>0.29058979456593792</v>
      </c>
      <c r="DF205" s="19" cm="1">
        <f t="array" aca="1" ref="DF205" ca="1">MAX(_xlfn._xlws.FILTER(CQ205:DD205,CQ205:DD205&lt;BJ205))</f>
        <v>-8.9412244481827056E-3</v>
      </c>
      <c r="DG205" s="19" cm="1">
        <f t="array" aca="1" ref="DG205" ca="1">MIN(_xlfn._xlws.FILTER(CQ205:DD205,CQ205:DD205&gt;BJ205))</f>
        <v>8.9412244481827056E-3</v>
      </c>
      <c r="DH205" s="2" cm="1">
        <f t="array" aca="1" ref="DH205" ca="1">_FV(EE205,"Fechamento anterior",TRUE)</f>
        <v>20.170000000000002</v>
      </c>
      <c r="DI205" s="36">
        <f t="shared" ca="1" si="251"/>
        <v>0.52772471619511829</v>
      </c>
      <c r="DJ205" s="18">
        <f t="shared" ref="DJ205:DJ254" ca="1" si="274">DH205+(DH205*DF205)</f>
        <v>19.989655502880158</v>
      </c>
      <c r="DK205" s="18">
        <f t="shared" ref="DK205:DK254" ca="1" si="275">DH205+(DH205*DG205)</f>
        <v>20.350344497119845</v>
      </c>
      <c r="DL205" s="9"/>
      <c r="DM205" s="9"/>
      <c r="DN205" s="9"/>
      <c r="DO205" s="9"/>
      <c r="DP205" s="79">
        <v>8.807668304235813E-3</v>
      </c>
      <c r="DQ205" s="79">
        <v>8.6921232244973317E-3</v>
      </c>
      <c r="DR205" s="79">
        <v>1.816581587748636E-2</v>
      </c>
      <c r="DS205" s="79">
        <f t="shared" ca="1" si="252"/>
        <v>1.7882448896365411E-2</v>
      </c>
      <c r="DT205" s="47"/>
      <c r="DU205" s="43">
        <f t="shared" si="253"/>
        <v>0.53344985706249837</v>
      </c>
      <c r="DV205" s="83">
        <f t="shared" ca="1" si="254"/>
        <v>0.7710999999999999</v>
      </c>
      <c r="DW205" s="83">
        <f t="shared" ca="1" si="255"/>
        <v>0.29541999999999996</v>
      </c>
      <c r="DX205" s="83">
        <f t="shared" ca="1" si="234"/>
        <v>0.47567999999999994</v>
      </c>
      <c r="DY205" s="67"/>
      <c r="DZ205" s="67"/>
      <c r="EA205" s="85"/>
      <c r="EB205" s="44">
        <v>704000</v>
      </c>
      <c r="EC205" s="44" cm="1">
        <f t="array" aca="1" ref="EC205" ca="1">_FV(EE205,"Volume")</f>
        <v>3087000</v>
      </c>
      <c r="EE205" s="2" t="e" vm="207">
        <v>#VALUE!</v>
      </c>
      <c r="EG205" s="10" cm="1">
        <f t="array" aca="1" ref="EG205" ca="1">_FV(EE205,"Ações em circulação",TRUE)</f>
        <v>332435400</v>
      </c>
      <c r="EH205" s="21">
        <f>VLOOKUP(BH205,Fundamentus!A:U,5,FALSE)</f>
        <v>0.84199999999999997</v>
      </c>
      <c r="EI205" s="2">
        <f t="shared" ca="1" si="256"/>
        <v>7967394741.0926371</v>
      </c>
      <c r="EJ205" s="20">
        <v>1083030708.5807602</v>
      </c>
      <c r="EK205" s="20">
        <f t="shared" ca="1" si="257"/>
        <v>1095516776.9002378</v>
      </c>
      <c r="EM205" s="40" t="str">
        <f>IF(VLOOKUP(BH205,Fundamentus!A:U,3,FALSE)&lt;15,"Bom",IF(VLOOKUP(BH205,Fundamentus!A:U,3,FALSE)&gt;15,"Ruim","n/a"))</f>
        <v>Bom</v>
      </c>
      <c r="EN205" s="36" t="str">
        <f>IF(VLOOKUP(BH205,Fundamentus!A:U,4,FALSE)&lt;1,"Baixo",IF(VLOOKUP(BH205,Fundamentus!A:U,4,FALSE)&lt;1.5,"Moderado",IF(VLOOKUP(BH205,Fundamentus!A:U,4,FALSE)&gt;1.5,"Alto","n/a")))</f>
        <v>Moderado</v>
      </c>
      <c r="EO205" s="20" t="str">
        <f>IF(VLOOKUP(BH205,Fundamentus!A:U,8,FALSE)&lt;0,"Risco elevado",IF(VLOOKUP(BH205,Fundamentus!A:U,8,FALSE)&lt;1,"Saudável",IF(VLOOKUP(BH205,Fundamentus!A:U,8,FALSE)&lt;3,"Estável",IF(VLOOKUP(BH205,Fundamentus!A:U,8,FALSE)&gt;3,"Alerta","n/a"))))</f>
        <v>Estável</v>
      </c>
      <c r="EP205" s="36" t="str">
        <f t="shared" si="258"/>
        <v>Ruim</v>
      </c>
      <c r="EQ205" s="20" t="str">
        <f>IF(VLOOKUP(BH205,Fundamentus!A:U,12,FALSE)&lt;2,"Subvalorizada",IF(VLOOKUP(BH205,Fundamentus!A:U,12,FALSE)&lt;6,"Muita barata",IF(VLOOKUP(BH205,Fundamentus!A:U,12,FALSE)&lt;6,"Barata",IF(VLOOKUP(BH205,Fundamentus!A:U,12,FALSE)&lt;8,"Atrativa",IF(VLOOKUP(BH205,Fundamentus!A:U,12,FALSE)&gt;8,"Supervalorizada","n/a")))))</f>
        <v>Muita barata</v>
      </c>
      <c r="ES205" s="20" t="str">
        <f>IF(VLOOKUP(BH205,Fundamentus!A:U,17,FALSE)&lt;0.1,"Fraco retorno",IF(VLOOKUP(BH205,Fundamentus!A:U,17,FALSE)&gt;0.1,"Bom retorno","n/a"))</f>
        <v>Bom retorno</v>
      </c>
      <c r="ET205" s="20" t="str">
        <f>IF(VLOOKUP(BH205,Fundamentus!A:U,16,FALSE)&lt;0.1,"Ineficiente",IF(VLOOKUP(BH205,Fundamentus!A:U,16,FALSE)&gt;0.1,"Eficiente","n/a"))</f>
        <v>Ineficiente</v>
      </c>
      <c r="EU205" s="41" t="str">
        <f>IF(VLOOKUP(BH205,Fundamentus!A:U,16,FALSE)&lt;0.1,"Oper. Ineficiente",IF(VLOOKUP(BH205,Fundamentus!A:U,16,FALSE)&gt;0.1,"Oper.Eficiente","n/a"))</f>
        <v>Oper. Ineficiente</v>
      </c>
      <c r="EV205" s="42">
        <f>VLOOKUP(BH205,Fundamentus!A:U,14,FALSE)</f>
        <v>0.13750000000000001</v>
      </c>
      <c r="EW205" s="20" t="str">
        <f>IF(VLOOKUP(BH205,Fundamentus!A:U,21,FALSE)&lt;0,"Negativo",IF(VLOOKUP(BH205,Fundamentus!A:U,21,FALSE)&lt;0.05,"Fraco",IF(VLOOKUP(BH205,Fundamentus!A:U,21,FALSE)&lt;0.1,"Bom",IF(VLOOKUP(BH205,Fundamentus!A:U,21,FALSE)&gt;0.1,"Muito bom","n/a"))))</f>
        <v>Muito bom</v>
      </c>
      <c r="EY205" s="37" t="str">
        <f>IF(VLOOKUP(BH205,Fundamentus!A:U,15,FALSE)&gt;1,"Bom",IF(VLOOKUP(BH205,Fundamentus!A:U,15,FALSE)&lt;1,"Ruim","n/a"))</f>
        <v>Bom</v>
      </c>
      <c r="EZ205" s="20" t="str">
        <f>IF(VLOOKUP(BH205,Fundamentus!A:U,20,FALSE)&lt;0.5,"Baixa",IF(VLOOKUP(BH205,Fundamentus!A:U,20,FALSE)&lt;1,"Moderada",IF(VLOOKUP(BH205,Fundamentus!A:U,20,FALSE)&lt;2,"Alerta",IF(VLOOKUP(BH205,Fundamentus!A:U,20,FALSE)&gt;2,"Alta","n/a"))))</f>
        <v>Alerta</v>
      </c>
      <c r="FA205" s="10"/>
    </row>
    <row r="206" spans="1:157" s="2" customFormat="1" ht="11.25" hidden="1" x14ac:dyDescent="0.2">
      <c r="A206" s="4">
        <v>9.09</v>
      </c>
      <c r="B206" s="4">
        <v>9.02</v>
      </c>
      <c r="C206" s="4">
        <v>8.8800000000000008</v>
      </c>
      <c r="D206" s="4">
        <v>8.7100000000000009</v>
      </c>
      <c r="E206" s="4">
        <v>8.5</v>
      </c>
      <c r="F206" s="4">
        <v>8.2899999999999991</v>
      </c>
      <c r="G206" s="4">
        <v>8.2799999999999994</v>
      </c>
      <c r="H206" s="4">
        <v>8.3699999999999992</v>
      </c>
      <c r="I206" s="4">
        <v>8.5</v>
      </c>
      <c r="J206" s="4">
        <v>9</v>
      </c>
      <c r="K206" s="4">
        <v>8.7200000000000006</v>
      </c>
      <c r="L206" s="4">
        <v>8.9</v>
      </c>
      <c r="M206" s="4">
        <v>8.73</v>
      </c>
      <c r="N206" s="4">
        <v>8.3000000000000007</v>
      </c>
      <c r="O206" s="4">
        <v>8.11</v>
      </c>
      <c r="P206" s="4">
        <v>8.09</v>
      </c>
      <c r="Q206" s="4">
        <v>8.17</v>
      </c>
      <c r="R206" s="4">
        <v>7.99</v>
      </c>
      <c r="S206" s="4">
        <v>7.65</v>
      </c>
      <c r="T206" s="4">
        <v>7.69</v>
      </c>
      <c r="U206" s="4">
        <v>7.53</v>
      </c>
      <c r="V206" s="4">
        <v>7.58</v>
      </c>
      <c r="W206" s="4">
        <v>7.6</v>
      </c>
      <c r="X206" s="4">
        <v>7.47</v>
      </c>
      <c r="Y206" s="4">
        <v>7.33</v>
      </c>
      <c r="Z206" s="4">
        <v>7.58</v>
      </c>
      <c r="AA206" s="4">
        <v>7.25</v>
      </c>
      <c r="AB206" s="4">
        <v>7.2</v>
      </c>
      <c r="AC206" s="4">
        <v>6.88</v>
      </c>
      <c r="AD206" s="4">
        <v>7.15</v>
      </c>
      <c r="AE206" s="4">
        <v>7.09</v>
      </c>
      <c r="AF206" s="4">
        <v>7</v>
      </c>
      <c r="AG206" s="4">
        <v>6.98</v>
      </c>
      <c r="AH206" s="4">
        <v>6.96</v>
      </c>
      <c r="AI206" s="4">
        <v>6.77</v>
      </c>
      <c r="AJ206" s="4">
        <v>6.46</v>
      </c>
      <c r="AK206" s="4">
        <v>6.93</v>
      </c>
      <c r="AL206" s="4">
        <v>6.96</v>
      </c>
      <c r="AM206" s="4">
        <v>7.11</v>
      </c>
      <c r="AN206" s="4">
        <v>7.3</v>
      </c>
      <c r="AO206" s="4">
        <v>7.05</v>
      </c>
      <c r="AP206" s="4">
        <v>7.16</v>
      </c>
      <c r="AQ206" s="4">
        <v>7.21</v>
      </c>
      <c r="AR206" s="4">
        <v>7.27</v>
      </c>
      <c r="AS206" s="4">
        <v>7.69</v>
      </c>
      <c r="AT206" s="4">
        <v>7.35</v>
      </c>
      <c r="AU206" s="4">
        <v>7.23</v>
      </c>
      <c r="AV206" s="4">
        <v>7.17</v>
      </c>
      <c r="AW206" s="4">
        <v>7.33</v>
      </c>
      <c r="AX206" s="4">
        <v>7.2</v>
      </c>
      <c r="AY206" s="12">
        <v>7.17</v>
      </c>
      <c r="AZ206" s="12">
        <v>7.48</v>
      </c>
      <c r="BA206" s="12">
        <v>8.0299999999999994</v>
      </c>
      <c r="BB206" s="18">
        <v>8.0500000000000007</v>
      </c>
      <c r="BC206" s="63">
        <v>8.1</v>
      </c>
      <c r="BD206" s="63">
        <v>7.63</v>
      </c>
      <c r="BE206" s="63">
        <v>7.47</v>
      </c>
      <c r="BF206" s="63">
        <v>7.64</v>
      </c>
      <c r="BG206" s="91" cm="1">
        <f t="array" aca="1" ref="BG206" ca="1">_FV(EE206,"Preço")</f>
        <v>7.56</v>
      </c>
      <c r="BH206" s="93" t="s">
        <v>203</v>
      </c>
      <c r="BI206" s="32" cm="1">
        <f t="array" aca="1" ref="BI206" ca="1">_FV(EE206,"Beta")</f>
        <v>0.51359999999999995</v>
      </c>
      <c r="BJ206" s="96" cm="1">
        <f t="array" aca="1" ref="BJ206" ca="1">_FV(EE206,"Variação (%)",TRUE)</f>
        <v>-1.0470999999999999E-2</v>
      </c>
      <c r="BK206" s="49"/>
      <c r="BL206" s="49"/>
      <c r="BN206" s="32"/>
      <c r="BO206" s="20" cm="1">
        <f t="array" aca="1" ref="BO206" ca="1">_FV(EE206,"Baixo")</f>
        <v>7.52</v>
      </c>
      <c r="BP206" s="20" cm="1">
        <f t="array" aca="1" ref="BP206" ca="1">_FV(EE206,"Alto")</f>
        <v>7.68</v>
      </c>
      <c r="BQ206" s="32"/>
      <c r="BR206" s="74">
        <f ca="1">SQRT(22.5*(BG206/VLOOKUP(BH206,Fundamentus!A:U,3,FALSE))*(BG206/VLOOKUP(BH206,Fundamentus!A:U,4,FALSE)))</f>
        <v>12.90028092481419</v>
      </c>
      <c r="BT206" s="73">
        <f t="shared" ca="1" si="235"/>
        <v>-1.0471204188481685E-2</v>
      </c>
      <c r="BU206" s="36">
        <f t="shared" si="236"/>
        <v>-0.17821782178217824</v>
      </c>
      <c r="BV206" s="8"/>
      <c r="BW206" s="72">
        <f t="shared" si="237"/>
        <v>6.46</v>
      </c>
      <c r="BX206" s="72">
        <f t="shared" si="238"/>
        <v>7.6956896551724148</v>
      </c>
      <c r="BY206" s="72">
        <f t="shared" si="239"/>
        <v>9.09</v>
      </c>
      <c r="BZ206" s="17"/>
      <c r="CA206" s="17"/>
      <c r="CB206" s="43">
        <f t="shared" si="240"/>
        <v>6.855282570014305</v>
      </c>
      <c r="CC206" s="18">
        <f t="shared" si="241"/>
        <v>7.3253889409560315</v>
      </c>
      <c r="CD206" s="43">
        <f t="shared" si="242"/>
        <v>7.7954953118977581</v>
      </c>
      <c r="CE206" s="98">
        <f t="shared" ca="1" si="243"/>
        <v>0.49905951832558759</v>
      </c>
      <c r="CF206" s="17"/>
      <c r="CG206" s="20">
        <f t="shared" si="244"/>
        <v>3.7400000000000011</v>
      </c>
      <c r="CH206" s="20">
        <f t="shared" si="245"/>
        <v>5.1000000000000005</v>
      </c>
      <c r="CI206" s="20">
        <f t="shared" si="246"/>
        <v>6.370000000000001</v>
      </c>
      <c r="CJ206" s="49">
        <f t="shared" si="247"/>
        <v>7.73</v>
      </c>
      <c r="CK206" s="20">
        <f t="shared" si="248"/>
        <v>9</v>
      </c>
      <c r="CL206" s="20">
        <f t="shared" si="249"/>
        <v>10.36</v>
      </c>
      <c r="CM206" s="20">
        <f t="shared" si="250"/>
        <v>11.63</v>
      </c>
      <c r="CN206" s="2" cm="1">
        <f t="array" aca="1" ref="CN206" ca="1">MAX(_xlfn._xlws.FILTER(CG206:CM206,CG206:CM206&lt;BG206))</f>
        <v>6.370000000000001</v>
      </c>
      <c r="CO206" s="2" cm="1">
        <f t="array" aca="1" ref="CO206" ca="1">MIN(_xlfn._xlws.FILTER($CG206:$CM206,$CG206:$CM206&gt;BG206))</f>
        <v>7.73</v>
      </c>
      <c r="CP206" s="19">
        <f t="shared" ca="1" si="259"/>
        <v>0.2135007849293562</v>
      </c>
      <c r="CQ206" s="23">
        <f t="shared" ca="1" si="260"/>
        <v>-0.1067503924646781</v>
      </c>
      <c r="CR206" s="23">
        <f t="shared" ca="1" si="261"/>
        <v>-7.1166928309785396E-2</v>
      </c>
      <c r="CS206" s="23">
        <f t="shared" ca="1" si="262"/>
        <v>-4.2700156985871242E-2</v>
      </c>
      <c r="CT206" s="23">
        <f t="shared" ca="1" si="263"/>
        <v>-2.3722309436595132E-2</v>
      </c>
      <c r="CU206" s="23">
        <f t="shared" ca="1" si="264"/>
        <v>-1.2558869701726835E-2</v>
      </c>
      <c r="CV206" s="23">
        <f t="shared" ca="1" si="265"/>
        <v>-6.4697207554350366E-3</v>
      </c>
      <c r="CW206" s="23">
        <f t="shared" ca="1" si="266"/>
        <v>-3.2846274604516339E-3</v>
      </c>
      <c r="CX206" s="24">
        <f t="shared" ca="1" si="267"/>
        <v>3.2846274604516339E-3</v>
      </c>
      <c r="CY206" s="24">
        <f t="shared" ca="1" si="268"/>
        <v>6.4697207554350366E-3</v>
      </c>
      <c r="CZ206" s="24">
        <f t="shared" ca="1" si="269"/>
        <v>1.2558869701726835E-2</v>
      </c>
      <c r="DA206" s="24">
        <f t="shared" ca="1" si="270"/>
        <v>2.3722309436595132E-2</v>
      </c>
      <c r="DB206" s="24">
        <f t="shared" ca="1" si="271"/>
        <v>4.2700156985871242E-2</v>
      </c>
      <c r="DC206" s="24">
        <f t="shared" ca="1" si="272"/>
        <v>7.1166928309785396E-2</v>
      </c>
      <c r="DD206" s="24">
        <f t="shared" ca="1" si="273"/>
        <v>0.1067503924646781</v>
      </c>
      <c r="DF206" s="19" cm="1">
        <f t="array" aca="1" ref="DF206" ca="1">MAX(_xlfn._xlws.FILTER(CQ206:DD206,CQ206:DD206&lt;BJ206))</f>
        <v>-1.2558869701726835E-2</v>
      </c>
      <c r="DG206" s="19" cm="1">
        <f t="array" aca="1" ref="DG206" ca="1">MIN(_xlfn._xlws.FILTER(CQ206:DD206,CQ206:DD206&gt;BJ206))</f>
        <v>-6.4697207554350366E-3</v>
      </c>
      <c r="DH206" s="2" cm="1">
        <f t="array" aca="1" ref="DH206" ca="1">_FV(EE206,"Fechamento anterior",TRUE)</f>
        <v>7.64</v>
      </c>
      <c r="DI206" s="36">
        <f t="shared" ca="1" si="251"/>
        <v>0.34285013089005284</v>
      </c>
      <c r="DJ206" s="18">
        <f t="shared" ca="1" si="274"/>
        <v>7.5440502354788066</v>
      </c>
      <c r="DK206" s="18">
        <f t="shared" ca="1" si="275"/>
        <v>7.5905713334284757</v>
      </c>
      <c r="DL206" s="9"/>
      <c r="DM206" s="9"/>
      <c r="DN206" s="9"/>
      <c r="DO206" s="9"/>
      <c r="DP206" s="79">
        <v>1.0621434701398355E-2</v>
      </c>
      <c r="DQ206" s="79">
        <v>6.2479027655284441E-3</v>
      </c>
      <c r="DR206" s="79">
        <v>1.0621434701398355E-2</v>
      </c>
      <c r="DS206" s="79">
        <f t="shared" ca="1" si="252"/>
        <v>6.0891489462917983E-3</v>
      </c>
      <c r="DT206" s="47"/>
      <c r="DU206" s="43">
        <f t="shared" si="253"/>
        <v>0.23505318547086312</v>
      </c>
      <c r="DV206" s="83">
        <f t="shared" ca="1" si="254"/>
        <v>0.93969999999999998</v>
      </c>
      <c r="DW206" s="83">
        <f t="shared" ca="1" si="255"/>
        <v>1.5606999999999998</v>
      </c>
      <c r="DX206" s="83">
        <f t="shared" ca="1" si="234"/>
        <v>-0.62099999999999977</v>
      </c>
      <c r="DY206" s="67"/>
      <c r="DZ206" s="67"/>
      <c r="EA206" s="85"/>
      <c r="EB206" s="44">
        <v>478200</v>
      </c>
      <c r="EC206" s="44" cm="1">
        <f t="array" aca="1" ref="EC206" ca="1">_FV(EE206,"Volume")</f>
        <v>403400</v>
      </c>
      <c r="EE206" s="2" t="e" vm="208">
        <v>#VALUE!</v>
      </c>
      <c r="EG206" s="10" cm="1">
        <f t="array" aca="1" ref="EG206" ca="1">_FV(EE206,"Ações em circulação",TRUE)</f>
        <v>239829900</v>
      </c>
      <c r="EH206" s="21">
        <f>VLOOKUP(BH206,Fundamentus!A:U,5,FALSE)</f>
        <v>1.125</v>
      </c>
      <c r="EI206" s="2">
        <f t="shared" ca="1" si="256"/>
        <v>1611656928</v>
      </c>
      <c r="EJ206" s="20">
        <v>315155674.99200004</v>
      </c>
      <c r="EK206" s="20">
        <f t="shared" ca="1" si="257"/>
        <v>311855615.56800002</v>
      </c>
      <c r="EM206" s="40" t="str">
        <f>IF(VLOOKUP(BH206,Fundamentus!A:U,3,FALSE)&lt;15,"Bom",IF(VLOOKUP(BH206,Fundamentus!A:U,3,FALSE)&gt;15,"Ruim","n/a"))</f>
        <v>Bom</v>
      </c>
      <c r="EN206" s="36" t="str">
        <f>IF(VLOOKUP(BH206,Fundamentus!A:U,4,FALSE)&lt;1,"Baixo",IF(VLOOKUP(BH206,Fundamentus!A:U,4,FALSE)&lt;1.5,"Moderado",IF(VLOOKUP(BH206,Fundamentus!A:U,4,FALSE)&gt;1.5,"Alto","n/a")))</f>
        <v>Moderado</v>
      </c>
      <c r="EO206" s="20" t="str">
        <f>IF(VLOOKUP(BH206,Fundamentus!A:U,8,FALSE)&lt;0,"Risco elevado",IF(VLOOKUP(BH206,Fundamentus!A:U,8,FALSE)&lt;1,"Saudável",IF(VLOOKUP(BH206,Fundamentus!A:U,8,FALSE)&lt;3,"Estável",IF(VLOOKUP(BH206,Fundamentus!A:U,8,FALSE)&gt;3,"Alerta","n/a"))))</f>
        <v>Estável</v>
      </c>
      <c r="EP206" s="36" t="str">
        <f t="shared" si="258"/>
        <v>Bom</v>
      </c>
      <c r="EQ206" s="20" t="str">
        <f>IF(VLOOKUP(BH206,Fundamentus!A:U,12,FALSE)&lt;2,"Subvalorizada",IF(VLOOKUP(BH206,Fundamentus!A:U,12,FALSE)&lt;6,"Muita barata",IF(VLOOKUP(BH206,Fundamentus!A:U,12,FALSE)&lt;6,"Barata",IF(VLOOKUP(BH206,Fundamentus!A:U,12,FALSE)&lt;8,"Atrativa",IF(VLOOKUP(BH206,Fundamentus!A:U,12,FALSE)&gt;8,"Supervalorizada","n/a")))))</f>
        <v>Muita barata</v>
      </c>
      <c r="ES206" s="20" t="str">
        <f>IF(VLOOKUP(BH206,Fundamentus!A:U,17,FALSE)&lt;0.1,"Fraco retorno",IF(VLOOKUP(BH206,Fundamentus!A:U,17,FALSE)&gt;0.1,"Bom retorno","n/a"))</f>
        <v>Bom retorno</v>
      </c>
      <c r="ET206" s="20" t="str">
        <f>IF(VLOOKUP(BH206,Fundamentus!A:U,16,FALSE)&lt;0.1,"Ineficiente",IF(VLOOKUP(BH206,Fundamentus!A:U,16,FALSE)&gt;0.1,"Eficiente","n/a"))</f>
        <v>Eficiente</v>
      </c>
      <c r="EU206" s="41" t="str">
        <f>IF(VLOOKUP(BH206,Fundamentus!A:U,16,FALSE)&lt;0.1,"Oper. Ineficiente",IF(VLOOKUP(BH206,Fundamentus!A:U,16,FALSE)&gt;0.1,"Oper.Eficiente","n/a"))</f>
        <v>Oper.Eficiente</v>
      </c>
      <c r="EV206" s="42">
        <f>VLOOKUP(BH206,Fundamentus!A:U,14,FALSE)</f>
        <v>0.19350000000000001</v>
      </c>
      <c r="EW206" s="20" t="str">
        <f>IF(VLOOKUP(BH206,Fundamentus!A:U,21,FALSE)&lt;0,"Negativo",IF(VLOOKUP(BH206,Fundamentus!A:U,21,FALSE)&lt;0.05,"Fraco",IF(VLOOKUP(BH206,Fundamentus!A:U,21,FALSE)&lt;0.1,"Bom",IF(VLOOKUP(BH206,Fundamentus!A:U,21,FALSE)&gt;0.1,"Muito bom","n/a"))))</f>
        <v>Bom</v>
      </c>
      <c r="EY206" s="37" t="str">
        <f>IF(VLOOKUP(BH206,Fundamentus!A:U,15,FALSE)&gt;1,"Bom",IF(VLOOKUP(BH206,Fundamentus!A:U,15,FALSE)&lt;1,"Ruim","n/a"))</f>
        <v>Bom</v>
      </c>
      <c r="EZ206" s="20" t="str">
        <f>IF(VLOOKUP(BH206,Fundamentus!A:U,20,FALSE)&lt;0.5,"Baixa",IF(VLOOKUP(BH206,Fundamentus!A:U,20,FALSE)&lt;1,"Moderada",IF(VLOOKUP(BH206,Fundamentus!A:U,20,FALSE)&lt;2,"Alerta",IF(VLOOKUP(BH206,Fundamentus!A:U,20,FALSE)&gt;2,"Alta","n/a"))))</f>
        <v>Alerta</v>
      </c>
      <c r="FA206" s="10"/>
    </row>
    <row r="207" spans="1:157" s="2" customFormat="1" ht="11.25" hidden="1" x14ac:dyDescent="0.2">
      <c r="A207" s="4">
        <v>4.87</v>
      </c>
      <c r="B207" s="4">
        <v>4.7699999999999996</v>
      </c>
      <c r="C207" s="4">
        <v>4.45</v>
      </c>
      <c r="D207" s="4">
        <v>3.81</v>
      </c>
      <c r="E207" s="4">
        <v>3.76</v>
      </c>
      <c r="F207" s="4">
        <v>3.55</v>
      </c>
      <c r="G207" s="4">
        <v>3.5</v>
      </c>
      <c r="H207" s="4">
        <v>3.45</v>
      </c>
      <c r="I207" s="4">
        <v>3.65</v>
      </c>
      <c r="J207" s="4">
        <v>3.75</v>
      </c>
      <c r="K207" s="4">
        <v>4.0999999999999996</v>
      </c>
      <c r="L207" s="4">
        <v>3.92</v>
      </c>
      <c r="M207" s="4">
        <v>3.71</v>
      </c>
      <c r="N207" s="4">
        <v>3.63</v>
      </c>
      <c r="O207" s="4">
        <v>4.03</v>
      </c>
      <c r="P207" s="4">
        <v>3.77</v>
      </c>
      <c r="Q207" s="4">
        <v>5.25</v>
      </c>
      <c r="R207" s="4">
        <v>4.8600000000000003</v>
      </c>
      <c r="S207" s="4">
        <v>4.8499999999999996</v>
      </c>
      <c r="T207" s="4">
        <v>4.75</v>
      </c>
      <c r="U207" s="4">
        <v>4.5999999999999996</v>
      </c>
      <c r="V207" s="4">
        <v>4.91</v>
      </c>
      <c r="W207" s="4">
        <v>4.9400000000000004</v>
      </c>
      <c r="X207" s="4">
        <v>4.88</v>
      </c>
      <c r="Y207" s="4">
        <v>4.83</v>
      </c>
      <c r="Z207" s="4">
        <v>4.8600000000000003</v>
      </c>
      <c r="AA207" s="4">
        <v>4.99</v>
      </c>
      <c r="AB207" s="4">
        <v>4.88</v>
      </c>
      <c r="AC207" s="4">
        <v>4.3</v>
      </c>
      <c r="AD207" s="4">
        <v>4.3</v>
      </c>
      <c r="AE207" s="4">
        <v>4.3</v>
      </c>
      <c r="AF207" s="4">
        <v>3.99</v>
      </c>
      <c r="AG207" s="4">
        <v>3.9</v>
      </c>
      <c r="AH207" s="4">
        <v>3.92</v>
      </c>
      <c r="AI207" s="4">
        <v>4.1500000000000004</v>
      </c>
      <c r="AJ207" s="4">
        <v>4.0199999999999996</v>
      </c>
      <c r="AK207" s="4">
        <v>4.0599999999999996</v>
      </c>
      <c r="AL207" s="4">
        <v>4.47</v>
      </c>
      <c r="AM207" s="4">
        <v>4.7</v>
      </c>
      <c r="AN207" s="4">
        <v>4.6900000000000004</v>
      </c>
      <c r="AO207" s="4">
        <v>4.49</v>
      </c>
      <c r="AP207" s="4">
        <v>4.3899999999999997</v>
      </c>
      <c r="AQ207" s="4">
        <v>4.24</v>
      </c>
      <c r="AR207" s="4">
        <v>4</v>
      </c>
      <c r="AS207" s="4">
        <v>4.25</v>
      </c>
      <c r="AT207" s="4">
        <v>4.6399999999999997</v>
      </c>
      <c r="AU207" s="4">
        <v>4.3650000000000002</v>
      </c>
      <c r="AV207" s="4">
        <v>4.09</v>
      </c>
      <c r="AW207" s="4">
        <v>4.04</v>
      </c>
      <c r="AX207" s="4">
        <v>4.0199999999999996</v>
      </c>
      <c r="AY207" s="12">
        <v>4.05</v>
      </c>
      <c r="AZ207" s="12">
        <v>4.53</v>
      </c>
      <c r="BA207" s="12">
        <v>4.6500000000000004</v>
      </c>
      <c r="BB207" s="18">
        <v>4.43</v>
      </c>
      <c r="BC207" s="63">
        <v>4.18</v>
      </c>
      <c r="BD207" s="63">
        <v>4.4800000000000004</v>
      </c>
      <c r="BE207" s="63">
        <v>4.32</v>
      </c>
      <c r="BF207" s="63">
        <v>4.2</v>
      </c>
      <c r="BG207" s="91" cm="1">
        <f t="array" aca="1" ref="BG207" ca="1">_FV(EE207,"Preço")</f>
        <v>4.16</v>
      </c>
      <c r="BH207" s="93" t="s">
        <v>204</v>
      </c>
      <c r="BI207" s="32" cm="1">
        <f t="array" aca="1" ref="BI207" ca="1">_FV(EE207,"Beta")</f>
        <v>1.1947000000000001</v>
      </c>
      <c r="BJ207" s="96" cm="1">
        <f t="array" aca="1" ref="BJ207" ca="1">_FV(EE207,"Variação (%)",TRUE)</f>
        <v>-2.398E-3</v>
      </c>
      <c r="BK207" s="49"/>
      <c r="BL207" s="49"/>
      <c r="BN207" s="32"/>
      <c r="BO207" s="20" cm="1">
        <f t="array" aca="1" ref="BO207" ca="1">_FV(EE207,"Baixo")</f>
        <v>4.12</v>
      </c>
      <c r="BP207" s="20" cm="1">
        <f t="array" aca="1" ref="BP207" ca="1">_FV(EE207,"Alto")</f>
        <v>4.2</v>
      </c>
      <c r="BQ207" s="32"/>
      <c r="BR207" s="74" t="e">
        <f ca="1">SQRT(22.5*(BG207/VLOOKUP(BH207,Fundamentus!A:U,3,FALSE))*(BG207/VLOOKUP(BH207,Fundamentus!A:U,4,FALSE)))</f>
        <v>#NUM!</v>
      </c>
      <c r="BT207" s="73">
        <f t="shared" ca="1" si="235"/>
        <v>-9.5238095238095316E-3</v>
      </c>
      <c r="BU207" s="36">
        <f t="shared" si="236"/>
        <v>-0.11293634496919915</v>
      </c>
      <c r="BV207" s="8"/>
      <c r="BW207" s="72">
        <f t="shared" si="237"/>
        <v>3.45</v>
      </c>
      <c r="BX207" s="72">
        <f t="shared" si="238"/>
        <v>4.3014655172413789</v>
      </c>
      <c r="BY207" s="72">
        <f t="shared" si="239"/>
        <v>5.25</v>
      </c>
      <c r="BZ207" s="17"/>
      <c r="CA207" s="17"/>
      <c r="CB207" s="43">
        <f t="shared" si="240"/>
        <v>4.0404066362495437</v>
      </c>
      <c r="CC207" s="18">
        <f t="shared" si="241"/>
        <v>4.2793626991565148</v>
      </c>
      <c r="CD207" s="43">
        <f t="shared" si="242"/>
        <v>4.5183187620634859</v>
      </c>
      <c r="CE207" s="98">
        <f t="shared" ca="1" si="243"/>
        <v>-0.49951734935884085</v>
      </c>
      <c r="CF207" s="17"/>
      <c r="CG207" s="20">
        <f t="shared" si="244"/>
        <v>1.5499999999999998</v>
      </c>
      <c r="CH207" s="20">
        <f t="shared" si="245"/>
        <v>2.5</v>
      </c>
      <c r="CI207" s="20">
        <f t="shared" si="246"/>
        <v>3.3499999999999996</v>
      </c>
      <c r="CJ207" s="49">
        <f t="shared" si="247"/>
        <v>4.3</v>
      </c>
      <c r="CK207" s="20">
        <f t="shared" si="248"/>
        <v>5.1499999999999995</v>
      </c>
      <c r="CL207" s="20">
        <f t="shared" si="249"/>
        <v>6.1</v>
      </c>
      <c r="CM207" s="20">
        <f t="shared" si="250"/>
        <v>6.9499999999999993</v>
      </c>
      <c r="CN207" s="2" cm="1">
        <f t="array" aca="1" ref="CN207" ca="1">MAX(_xlfn._xlws.FILTER(CG207:CM207,CG207:CM207&lt;BG207))</f>
        <v>3.3499999999999996</v>
      </c>
      <c r="CO207" s="2" cm="1">
        <f t="array" aca="1" ref="CO207" ca="1">MIN(_xlfn._xlws.FILTER($CG207:$CM207,$CG207:$CM207&gt;BG207))</f>
        <v>4.3</v>
      </c>
      <c r="CP207" s="19">
        <f t="shared" ca="1" si="259"/>
        <v>0.28358208955223896</v>
      </c>
      <c r="CQ207" s="23">
        <f t="shared" ca="1" si="260"/>
        <v>-0.14179104477611948</v>
      </c>
      <c r="CR207" s="23">
        <f t="shared" ca="1" si="261"/>
        <v>-9.4527363184079657E-2</v>
      </c>
      <c r="CS207" s="23">
        <f t="shared" ca="1" si="262"/>
        <v>-5.6716417910447792E-2</v>
      </c>
      <c r="CT207" s="23">
        <f t="shared" ca="1" si="263"/>
        <v>-3.1509121061359883E-2</v>
      </c>
      <c r="CU207" s="23">
        <f t="shared" ca="1" si="264"/>
        <v>-1.668129938542582E-2</v>
      </c>
      <c r="CV207" s="23">
        <f t="shared" ca="1" si="265"/>
        <v>-8.5933966530981499E-3</v>
      </c>
      <c r="CW207" s="23">
        <f t="shared" ca="1" si="266"/>
        <v>-4.362801377726753E-3</v>
      </c>
      <c r="CX207" s="24">
        <f t="shared" ca="1" si="267"/>
        <v>4.362801377726753E-3</v>
      </c>
      <c r="CY207" s="24">
        <f t="shared" ca="1" si="268"/>
        <v>8.5933966530981499E-3</v>
      </c>
      <c r="CZ207" s="24">
        <f t="shared" ca="1" si="269"/>
        <v>1.668129938542582E-2</v>
      </c>
      <c r="DA207" s="24">
        <f t="shared" ca="1" si="270"/>
        <v>3.1509121061359883E-2</v>
      </c>
      <c r="DB207" s="24">
        <f t="shared" ca="1" si="271"/>
        <v>5.6716417910447792E-2</v>
      </c>
      <c r="DC207" s="24">
        <f t="shared" ca="1" si="272"/>
        <v>9.4527363184079657E-2</v>
      </c>
      <c r="DD207" s="24">
        <f t="shared" ca="1" si="273"/>
        <v>0.14179104477611948</v>
      </c>
      <c r="DF207" s="19" cm="1">
        <f t="array" aca="1" ref="DF207" ca="1">MAX(_xlfn._xlws.FILTER(CQ207:DD207,CQ207:DD207&lt;BJ207))</f>
        <v>-4.362801377726753E-3</v>
      </c>
      <c r="DG207" s="19" cm="1">
        <f t="array" aca="1" ref="DG207" ca="1">MIN(_xlfn._xlws.FILTER(CQ207:DD207,CQ207:DD207&gt;BJ207))</f>
        <v>4.362801377726753E-3</v>
      </c>
      <c r="DH207" s="2" cm="1">
        <f t="array" aca="1" ref="DH207" ca="1">_FV(EE207,"Fechamento anterior",TRUE)</f>
        <v>4.17</v>
      </c>
      <c r="DI207" s="36">
        <f t="shared" ca="1" si="251"/>
        <v>0.22516723463335042</v>
      </c>
      <c r="DJ207" s="18">
        <f t="shared" ca="1" si="274"/>
        <v>4.1518071182548795</v>
      </c>
      <c r="DK207" s="18">
        <f t="shared" ca="1" si="275"/>
        <v>4.1881928817451204</v>
      </c>
      <c r="DL207" s="9"/>
      <c r="DM207" s="9"/>
      <c r="DN207" s="9"/>
      <c r="DO207" s="9"/>
      <c r="DP207" s="79">
        <v>5.8891065036806873E-3</v>
      </c>
      <c r="DQ207" s="79">
        <v>2.8553243654209394E-3</v>
      </c>
      <c r="DR207" s="79">
        <v>2.8553243654209394E-3</v>
      </c>
      <c r="DS207" s="79">
        <f t="shared" ca="1" si="252"/>
        <v>8.725602755453506E-3</v>
      </c>
      <c r="DT207" s="47"/>
      <c r="DU207" s="43">
        <f t="shared" si="253"/>
        <v>0.11947803145348541</v>
      </c>
      <c r="DV207" s="83">
        <f t="shared" ca="1" si="254"/>
        <v>1.6208</v>
      </c>
      <c r="DW207" s="83">
        <f t="shared" ca="1" si="255"/>
        <v>1.4345000000000001</v>
      </c>
      <c r="DX207" s="83">
        <f t="shared" ca="1" si="234"/>
        <v>0.18629999999999991</v>
      </c>
      <c r="DY207" s="67"/>
      <c r="DZ207" s="67"/>
      <c r="EA207" s="85"/>
      <c r="EB207" s="44">
        <v>6914500</v>
      </c>
      <c r="EC207" s="44" cm="1">
        <f t="array" aca="1" ref="EC207" ca="1">_FV(EE207,"Volume")</f>
        <v>6350000</v>
      </c>
      <c r="EE207" s="2" t="e" vm="209">
        <v>#VALUE!</v>
      </c>
      <c r="EG207" s="10" cm="1">
        <f t="array" aca="1" ref="EG207" ca="1">_FV(EE207,"Ações em circulação",TRUE)</f>
        <v>462739900</v>
      </c>
      <c r="EH207" s="21">
        <f>VLOOKUP(BH207,Fundamentus!A:U,5,FALSE)</f>
        <v>0.57699999999999996</v>
      </c>
      <c r="EI207" s="2">
        <f t="shared" ca="1" si="256"/>
        <v>3336218343.1542463</v>
      </c>
      <c r="EJ207" s="20">
        <v>-40419568.388214909</v>
      </c>
      <c r="EK207" s="20">
        <f t="shared" ca="1" si="257"/>
        <v>-40034620.117850959</v>
      </c>
      <c r="EM207" s="40" t="str">
        <f>IF(VLOOKUP(BH207,Fundamentus!A:U,3,FALSE)&lt;15,"Bom",IF(VLOOKUP(BH207,Fundamentus!A:U,3,FALSE)&gt;15,"Ruim","n/a"))</f>
        <v>Bom</v>
      </c>
      <c r="EN207" s="36" t="str">
        <f>IF(VLOOKUP(BH207,Fundamentus!A:U,4,FALSE)&lt;1,"Baixo",IF(VLOOKUP(BH207,Fundamentus!A:U,4,FALSE)&lt;1.5,"Moderado",IF(VLOOKUP(BH207,Fundamentus!A:U,4,FALSE)&gt;1.5,"Alto","n/a")))</f>
        <v>Moderado</v>
      </c>
      <c r="EO207" s="20" t="str">
        <f>IF(VLOOKUP(BH207,Fundamentus!A:U,8,FALSE)&lt;0,"Risco elevado",IF(VLOOKUP(BH207,Fundamentus!A:U,8,FALSE)&lt;1,"Saudável",IF(VLOOKUP(BH207,Fundamentus!A:U,8,FALSE)&lt;3,"Estável",IF(VLOOKUP(BH207,Fundamentus!A:U,8,FALSE)&gt;3,"Alerta","n/a"))))</f>
        <v>Alerta</v>
      </c>
      <c r="EP207" s="36" t="str">
        <f t="shared" si="258"/>
        <v>Ruim</v>
      </c>
      <c r="EQ207" s="20" t="str">
        <f>IF(VLOOKUP(BH207,Fundamentus!A:U,12,FALSE)&lt;2,"Subvalorizada",IF(VLOOKUP(BH207,Fundamentus!A:U,12,FALSE)&lt;6,"Muita barata",IF(VLOOKUP(BH207,Fundamentus!A:U,12,FALSE)&lt;6,"Barata",IF(VLOOKUP(BH207,Fundamentus!A:U,12,FALSE)&lt;8,"Atrativa",IF(VLOOKUP(BH207,Fundamentus!A:U,12,FALSE)&gt;8,"Supervalorizada","n/a")))))</f>
        <v>Muita barata</v>
      </c>
      <c r="ES207" s="20" t="str">
        <f>IF(VLOOKUP(BH207,Fundamentus!A:U,17,FALSE)&lt;0.1,"Fraco retorno",IF(VLOOKUP(BH207,Fundamentus!A:U,17,FALSE)&gt;0.1,"Bom retorno","n/a"))</f>
        <v>Fraco retorno</v>
      </c>
      <c r="ET207" s="20" t="str">
        <f>IF(VLOOKUP(BH207,Fundamentus!A:U,16,FALSE)&lt;0.1,"Ineficiente",IF(VLOOKUP(BH207,Fundamentus!A:U,16,FALSE)&gt;0.1,"Eficiente","n/a"))</f>
        <v>Ineficiente</v>
      </c>
      <c r="EU207" s="41" t="str">
        <f>IF(VLOOKUP(BH207,Fundamentus!A:U,16,FALSE)&lt;0.1,"Oper. Ineficiente",IF(VLOOKUP(BH207,Fundamentus!A:U,16,FALSE)&gt;0.1,"Oper.Eficiente","n/a"))</f>
        <v>Oper. Ineficiente</v>
      </c>
      <c r="EV207" s="42">
        <f>VLOOKUP(BH207,Fundamentus!A:U,14,FALSE)</f>
        <v>-1.2E-2</v>
      </c>
      <c r="EW207" s="20" t="str">
        <f>IF(VLOOKUP(BH207,Fundamentus!A:U,21,FALSE)&lt;0,"Negativo",IF(VLOOKUP(BH207,Fundamentus!A:U,21,FALSE)&lt;0.05,"Fraco",IF(VLOOKUP(BH207,Fundamentus!A:U,21,FALSE)&lt;0.1,"Bom",IF(VLOOKUP(BH207,Fundamentus!A:U,21,FALSE)&gt;0.1,"Muito bom","n/a"))))</f>
        <v>Muito bom</v>
      </c>
      <c r="EY207" s="37" t="str">
        <f>IF(VLOOKUP(BH207,Fundamentus!A:U,15,FALSE)&gt;1,"Bom",IF(VLOOKUP(BH207,Fundamentus!A:U,15,FALSE)&lt;1,"Ruim","n/a"))</f>
        <v>Bom</v>
      </c>
      <c r="EZ207" s="20" t="str">
        <f>IF(VLOOKUP(BH207,Fundamentus!A:U,20,FALSE)&lt;0.5,"Baixa",IF(VLOOKUP(BH207,Fundamentus!A:U,20,FALSE)&lt;1,"Moderada",IF(VLOOKUP(BH207,Fundamentus!A:U,20,FALSE)&lt;2,"Alerta",IF(VLOOKUP(BH207,Fundamentus!A:U,20,FALSE)&gt;2,"Alta","n/a"))))</f>
        <v>Baixa</v>
      </c>
      <c r="FA207" s="10"/>
    </row>
    <row r="208" spans="1:157" s="2" customFormat="1" ht="11.25" hidden="1" x14ac:dyDescent="0.2">
      <c r="A208" s="4">
        <v>28.18</v>
      </c>
      <c r="B208" s="4">
        <v>28.52</v>
      </c>
      <c r="C208" s="4">
        <v>28.71</v>
      </c>
      <c r="D208" s="4">
        <v>29</v>
      </c>
      <c r="E208" s="4">
        <v>28.56</v>
      </c>
      <c r="F208" s="4">
        <v>28.5</v>
      </c>
      <c r="G208" s="4">
        <v>30.59</v>
      </c>
      <c r="H208" s="4">
        <v>29.83</v>
      </c>
      <c r="I208" s="4">
        <v>30.25</v>
      </c>
      <c r="J208" s="4">
        <v>29.5</v>
      </c>
      <c r="K208" s="4">
        <v>29.28</v>
      </c>
      <c r="L208" s="4">
        <v>28.06</v>
      </c>
      <c r="M208" s="4">
        <v>28.13</v>
      </c>
      <c r="N208" s="4">
        <v>27.62</v>
      </c>
      <c r="O208" s="4">
        <v>29.62</v>
      </c>
      <c r="P208" s="4">
        <v>29.54</v>
      </c>
      <c r="Q208" s="4">
        <v>31.46</v>
      </c>
      <c r="R208" s="4">
        <v>29.97</v>
      </c>
      <c r="S208" s="4">
        <v>29.36</v>
      </c>
      <c r="T208" s="4">
        <v>30.18</v>
      </c>
      <c r="U208" s="4">
        <v>28.95</v>
      </c>
      <c r="V208" s="4">
        <v>28.28</v>
      </c>
      <c r="W208" s="4">
        <v>27.99</v>
      </c>
      <c r="X208" s="4">
        <v>28</v>
      </c>
      <c r="Y208" s="4">
        <v>28.72</v>
      </c>
      <c r="Z208" s="4">
        <v>28.87</v>
      </c>
      <c r="AA208" s="4">
        <v>30.95</v>
      </c>
      <c r="AB208" s="4">
        <v>30.86</v>
      </c>
      <c r="AC208" s="4">
        <v>30</v>
      </c>
      <c r="AD208" s="4">
        <v>29.82</v>
      </c>
      <c r="AE208" s="4">
        <v>27.46</v>
      </c>
      <c r="AF208" s="4">
        <v>27.35</v>
      </c>
      <c r="AG208" s="4">
        <v>29.17</v>
      </c>
      <c r="AH208" s="4">
        <v>27.65</v>
      </c>
      <c r="AI208" s="4">
        <v>27.03</v>
      </c>
      <c r="AJ208" s="4">
        <v>26.14</v>
      </c>
      <c r="AK208" s="4">
        <v>26.71</v>
      </c>
      <c r="AL208" s="4">
        <v>28.2</v>
      </c>
      <c r="AM208" s="4">
        <v>29.91</v>
      </c>
      <c r="AN208" s="4">
        <v>34.06</v>
      </c>
      <c r="AO208" s="4">
        <v>33.54</v>
      </c>
      <c r="AP208" s="4">
        <v>34.4</v>
      </c>
      <c r="AQ208" s="4">
        <v>35.06</v>
      </c>
      <c r="AR208" s="4">
        <v>34.96</v>
      </c>
      <c r="AS208" s="4">
        <v>34.119999999999997</v>
      </c>
      <c r="AT208" s="4">
        <v>33.47</v>
      </c>
      <c r="AU208" s="4">
        <v>34.575000000000003</v>
      </c>
      <c r="AV208" s="4">
        <v>33.4</v>
      </c>
      <c r="AW208" s="4">
        <v>34.15</v>
      </c>
      <c r="AX208" s="4">
        <v>34.700000000000003</v>
      </c>
      <c r="AY208" s="12">
        <v>36.64</v>
      </c>
      <c r="AZ208" s="12">
        <v>37.520000000000003</v>
      </c>
      <c r="BA208" s="12">
        <v>37.619999999999997</v>
      </c>
      <c r="BB208" s="18">
        <v>38.020000000000003</v>
      </c>
      <c r="BC208" s="63">
        <v>40.67</v>
      </c>
      <c r="BD208" s="63">
        <v>42.5</v>
      </c>
      <c r="BE208" s="63">
        <v>42.21</v>
      </c>
      <c r="BF208" s="63">
        <v>40.98</v>
      </c>
      <c r="BG208" s="91" cm="1">
        <f t="array" aca="1" ref="BG208" ca="1">_FV(EE208,"Preço")</f>
        <v>41.04</v>
      </c>
      <c r="BH208" s="93" t="s">
        <v>32</v>
      </c>
      <c r="BI208" s="32" cm="1">
        <f t="array" aca="1" ref="BI208" ca="1">_FV(EE208,"Beta")</f>
        <v>0.97219999999999995</v>
      </c>
      <c r="BJ208" s="96" cm="1">
        <f t="array" aca="1" ref="BJ208" ca="1">_FV(EE208,"Variação (%)",TRUE)</f>
        <v>-6.5359999999999993E-3</v>
      </c>
      <c r="BK208" s="49"/>
      <c r="BL208" s="49"/>
      <c r="BN208" s="32"/>
      <c r="BO208" s="20" cm="1">
        <f t="array" aca="1" ref="BO208" ca="1">_FV(EE208,"Baixo")</f>
        <v>40.86</v>
      </c>
      <c r="BP208" s="20" cm="1">
        <f t="array" aca="1" ref="BP208" ca="1">_FV(EE208,"Alto")</f>
        <v>41.44</v>
      </c>
      <c r="BQ208" s="32"/>
      <c r="BR208" s="74">
        <f ca="1">SQRT(22.5*(BG208/VLOOKUP(BH208,Fundamentus!A:U,3,FALSE))*(BG208/VLOOKUP(BH208,Fundamentus!A:U,4,FALSE)))</f>
        <v>15.472465588618229</v>
      </c>
      <c r="BT208" s="73">
        <f t="shared" ca="1" si="235"/>
        <v>1.4641288433382693E-3</v>
      </c>
      <c r="BU208" s="36">
        <f t="shared" si="236"/>
        <v>0.49787083037615337</v>
      </c>
      <c r="BV208" s="8"/>
      <c r="BW208" s="72">
        <f t="shared" si="237"/>
        <v>26.14</v>
      </c>
      <c r="BX208" s="72">
        <f t="shared" si="238"/>
        <v>31.37094827586208</v>
      </c>
      <c r="BY208" s="72">
        <f t="shared" si="239"/>
        <v>42.5</v>
      </c>
      <c r="BZ208" s="17"/>
      <c r="CA208" s="17"/>
      <c r="CB208" s="43">
        <f t="shared" si="240"/>
        <v>40.241105346096212</v>
      </c>
      <c r="CC208" s="18">
        <f t="shared" si="241"/>
        <v>41.800271790065551</v>
      </c>
      <c r="CD208" s="43">
        <f t="shared" si="242"/>
        <v>43.35943823403489</v>
      </c>
      <c r="CE208" s="98">
        <f t="shared" ca="1" si="243"/>
        <v>-0.48761425889210763</v>
      </c>
      <c r="CF208" s="17"/>
      <c r="CG208" s="20">
        <f t="shared" si="244"/>
        <v>14.219999999999999</v>
      </c>
      <c r="CH208" s="20">
        <f t="shared" si="245"/>
        <v>20.18</v>
      </c>
      <c r="CI208" s="20">
        <f t="shared" si="246"/>
        <v>30.58</v>
      </c>
      <c r="CJ208" s="49">
        <f t="shared" si="247"/>
        <v>36.54</v>
      </c>
      <c r="CK208" s="20">
        <f t="shared" si="248"/>
        <v>46.94</v>
      </c>
      <c r="CL208" s="20">
        <f t="shared" si="249"/>
        <v>52.9</v>
      </c>
      <c r="CM208" s="20">
        <f t="shared" si="250"/>
        <v>63.3</v>
      </c>
      <c r="CN208" s="2" cm="1">
        <f t="array" aca="1" ref="CN208" ca="1">MAX(_xlfn._xlws.FILTER(CG208:CM208,CG208:CM208&lt;BG208))</f>
        <v>36.54</v>
      </c>
      <c r="CO208" s="2" cm="1">
        <f t="array" aca="1" ref="CO208" ca="1">MIN(_xlfn._xlws.FILTER($CG208:$CM208,$CG208:$CM208&gt;BG208))</f>
        <v>46.94</v>
      </c>
      <c r="CP208" s="19">
        <f t="shared" ca="1" si="259"/>
        <v>0.28461959496442257</v>
      </c>
      <c r="CQ208" s="23">
        <f t="shared" ca="1" si="260"/>
        <v>-0.14230979748221129</v>
      </c>
      <c r="CR208" s="23">
        <f t="shared" ca="1" si="261"/>
        <v>-9.4873198321474186E-2</v>
      </c>
      <c r="CS208" s="23">
        <f t="shared" ca="1" si="262"/>
        <v>-5.6923918992884515E-2</v>
      </c>
      <c r="CT208" s="23">
        <f t="shared" ca="1" si="263"/>
        <v>-3.1624399440491398E-2</v>
      </c>
      <c r="CU208" s="23">
        <f t="shared" ca="1" si="264"/>
        <v>-1.6742329115554268E-2</v>
      </c>
      <c r="CV208" s="23">
        <f t="shared" ca="1" si="265"/>
        <v>-8.6248362110431086E-3</v>
      </c>
      <c r="CW208" s="23">
        <f t="shared" ca="1" si="266"/>
        <v>-4.3787629994526548E-3</v>
      </c>
      <c r="CX208" s="24">
        <f t="shared" ca="1" si="267"/>
        <v>4.3787629994526548E-3</v>
      </c>
      <c r="CY208" s="24">
        <f t="shared" ca="1" si="268"/>
        <v>8.6248362110431086E-3</v>
      </c>
      <c r="CZ208" s="24">
        <f t="shared" ca="1" si="269"/>
        <v>1.6742329115554268E-2</v>
      </c>
      <c r="DA208" s="24">
        <f t="shared" ca="1" si="270"/>
        <v>3.1624399440491398E-2</v>
      </c>
      <c r="DB208" s="24">
        <f t="shared" ca="1" si="271"/>
        <v>5.6923918992884515E-2</v>
      </c>
      <c r="DC208" s="24">
        <f t="shared" ca="1" si="272"/>
        <v>9.4873198321474186E-2</v>
      </c>
      <c r="DD208" s="24">
        <f t="shared" ca="1" si="273"/>
        <v>0.14230979748221129</v>
      </c>
      <c r="DF208" s="19" cm="1">
        <f t="array" aca="1" ref="DF208" ca="1">MAX(_xlfn._xlws.FILTER(CQ208:DD208,CQ208:DD208&lt;BJ208))</f>
        <v>-8.6248362110431086E-3</v>
      </c>
      <c r="DG208" s="19" cm="1">
        <f t="array" aca="1" ref="DG208" ca="1">MIN(_xlfn._xlws.FILTER(CQ208:DD208,CQ208:DD208&gt;BJ208))</f>
        <v>-4.3787629994526548E-3</v>
      </c>
      <c r="DH208" s="2" cm="1">
        <f t="array" aca="1" ref="DH208" ca="1">_FV(EE208,"Fechamento anterior",TRUE)</f>
        <v>41.31</v>
      </c>
      <c r="DI208" s="36">
        <f t="shared" ca="1" si="251"/>
        <v>0.49195772058822806</v>
      </c>
      <c r="DJ208" s="18">
        <f t="shared" ca="1" si="274"/>
        <v>40.953708016121809</v>
      </c>
      <c r="DK208" s="18">
        <f t="shared" ca="1" si="275"/>
        <v>41.129113300492612</v>
      </c>
      <c r="DL208" s="9"/>
      <c r="DM208" s="9"/>
      <c r="DN208" s="9"/>
      <c r="DO208" s="9"/>
      <c r="DP208" s="79">
        <v>7.4523540281876584E-3</v>
      </c>
      <c r="DQ208" s="79">
        <v>7.8419142489367499E-3</v>
      </c>
      <c r="DR208" s="79">
        <v>3.9723743247437049E-3</v>
      </c>
      <c r="DS208" s="79">
        <f t="shared" ca="1" si="252"/>
        <v>4.2460732115904539E-3</v>
      </c>
      <c r="DT208" s="47"/>
      <c r="DU208" s="43">
        <f t="shared" si="253"/>
        <v>0.77958322198467067</v>
      </c>
      <c r="DV208" s="83">
        <f t="shared" ca="1" si="254"/>
        <v>1.3982999999999999</v>
      </c>
      <c r="DW208" s="83">
        <f t="shared" ca="1" si="255"/>
        <v>1.6257999999999999</v>
      </c>
      <c r="DX208" s="83">
        <f t="shared" ca="1" si="234"/>
        <v>-0.22750000000000004</v>
      </c>
      <c r="DY208" s="67"/>
      <c r="DZ208" s="67"/>
      <c r="EA208" s="85"/>
      <c r="EB208" s="44">
        <v>3227000</v>
      </c>
      <c r="EC208" s="44" cm="1">
        <f t="array" aca="1" ref="EC208" ca="1">_FV(EE208,"Volume")</f>
        <v>3738900</v>
      </c>
      <c r="EE208" s="2" t="e" vm="210">
        <v>#VALUE!</v>
      </c>
      <c r="EG208" s="10" cm="1">
        <f t="array" aca="1" ref="EG208" ca="1">_FV(EE208,"Ações em circulação",TRUE)</f>
        <v>599401600</v>
      </c>
      <c r="EH208" s="21">
        <f>VLOOKUP(BH208,Fundamentus!A:U,5,FALSE)</f>
        <v>4.4930000000000003</v>
      </c>
      <c r="EI208" s="2">
        <f t="shared" ca="1" si="256"/>
        <v>5475059350.9904289</v>
      </c>
      <c r="EJ208" s="20">
        <v>810764238.44522583</v>
      </c>
      <c r="EK208" s="20">
        <f t="shared" ca="1" si="257"/>
        <v>811951301.75188053</v>
      </c>
      <c r="EM208" s="40" t="str">
        <f>IF(VLOOKUP(BH208,Fundamentus!A:U,3,FALSE)&lt;15,"Bom",IF(VLOOKUP(BH208,Fundamentus!A:U,3,FALSE)&gt;15,"Ruim","n/a"))</f>
        <v>Ruim</v>
      </c>
      <c r="EN208" s="36" t="str">
        <f>IF(VLOOKUP(BH208,Fundamentus!A:U,4,FALSE)&lt;1,"Baixo",IF(VLOOKUP(BH208,Fundamentus!A:U,4,FALSE)&lt;1.5,"Moderado",IF(VLOOKUP(BH208,Fundamentus!A:U,4,FALSE)&gt;1.5,"Alto","n/a")))</f>
        <v>Alto</v>
      </c>
      <c r="EO208" s="20" t="str">
        <f>IF(VLOOKUP(BH208,Fundamentus!A:U,8,FALSE)&lt;0,"Risco elevado",IF(VLOOKUP(BH208,Fundamentus!A:U,8,FALSE)&lt;1,"Saudável",IF(VLOOKUP(BH208,Fundamentus!A:U,8,FALSE)&lt;3,"Estável",IF(VLOOKUP(BH208,Fundamentus!A:U,8,FALSE)&gt;3,"Alerta","n/a"))))</f>
        <v>Alerta</v>
      </c>
      <c r="EP208" s="36" t="str">
        <f t="shared" si="258"/>
        <v>Bom</v>
      </c>
      <c r="EQ208" s="20" t="str">
        <f>IF(VLOOKUP(BH208,Fundamentus!A:U,12,FALSE)&lt;2,"Subvalorizada",IF(VLOOKUP(BH208,Fundamentus!A:U,12,FALSE)&lt;6,"Muita barata",IF(VLOOKUP(BH208,Fundamentus!A:U,12,FALSE)&lt;6,"Barata",IF(VLOOKUP(BH208,Fundamentus!A:U,12,FALSE)&lt;8,"Atrativa",IF(VLOOKUP(BH208,Fundamentus!A:U,12,FALSE)&gt;8,"Supervalorizada","n/a")))))</f>
        <v>Supervalorizada</v>
      </c>
      <c r="ES208" s="20" t="str">
        <f>IF(VLOOKUP(BH208,Fundamentus!A:U,17,FALSE)&lt;0.1,"Fraco retorno",IF(VLOOKUP(BH208,Fundamentus!A:U,17,FALSE)&gt;0.1,"Bom retorno","n/a"))</f>
        <v>Bom retorno</v>
      </c>
      <c r="ET208" s="20" t="str">
        <f>IF(VLOOKUP(BH208,Fundamentus!A:U,16,FALSE)&lt;0.1,"Ineficiente",IF(VLOOKUP(BH208,Fundamentus!A:U,16,FALSE)&gt;0.1,"Eficiente","n/a"))</f>
        <v>Eficiente</v>
      </c>
      <c r="EU208" s="41" t="str">
        <f>IF(VLOOKUP(BH208,Fundamentus!A:U,16,FALSE)&lt;0.1,"Oper. Ineficiente",IF(VLOOKUP(BH208,Fundamentus!A:U,16,FALSE)&gt;0.1,"Oper.Eficiente","n/a"))</f>
        <v>Oper.Eficiente</v>
      </c>
      <c r="EV208" s="42">
        <f>VLOOKUP(BH208,Fundamentus!A:U,14,FALSE)</f>
        <v>0.14829999999999999</v>
      </c>
      <c r="EW208" s="20" t="str">
        <f>IF(VLOOKUP(BH208,Fundamentus!A:U,21,FALSE)&lt;0,"Negativo",IF(VLOOKUP(BH208,Fundamentus!A:U,21,FALSE)&lt;0.05,"Fraco",IF(VLOOKUP(BH208,Fundamentus!A:U,21,FALSE)&lt;0.1,"Bom",IF(VLOOKUP(BH208,Fundamentus!A:U,21,FALSE)&gt;0.1,"Muito bom","n/a"))))</f>
        <v>Muito bom</v>
      </c>
      <c r="EY208" s="37" t="str">
        <f>IF(VLOOKUP(BH208,Fundamentus!A:U,15,FALSE)&gt;1,"Bom",IF(VLOOKUP(BH208,Fundamentus!A:U,15,FALSE)&lt;1,"Ruim","n/a"))</f>
        <v>Bom</v>
      </c>
      <c r="EZ208" s="20" t="str">
        <f>IF(VLOOKUP(BH208,Fundamentus!A:U,20,FALSE)&lt;0.5,"Baixa",IF(VLOOKUP(BH208,Fundamentus!A:U,20,FALSE)&lt;1,"Moderada",IF(VLOOKUP(BH208,Fundamentus!A:U,20,FALSE)&lt;2,"Alerta",IF(VLOOKUP(BH208,Fundamentus!A:U,20,FALSE)&gt;2,"Alta","n/a"))))</f>
        <v>Baixa</v>
      </c>
      <c r="FA208" s="10">
        <v>4</v>
      </c>
    </row>
    <row r="209" spans="1:156" s="2" customFormat="1" ht="11.25" hidden="1" x14ac:dyDescent="0.2">
      <c r="A209" s="4">
        <v>16.18</v>
      </c>
      <c r="B209" s="4">
        <v>16.12</v>
      </c>
      <c r="C209" s="4">
        <v>12.9</v>
      </c>
      <c r="D209" s="4">
        <v>13.63</v>
      </c>
      <c r="E209" s="4">
        <v>12.09</v>
      </c>
      <c r="F209" s="4">
        <v>11.38</v>
      </c>
      <c r="G209" s="4">
        <v>11.22</v>
      </c>
      <c r="H209" s="4">
        <v>10.84</v>
      </c>
      <c r="I209" s="4">
        <v>10.4</v>
      </c>
      <c r="J209" s="4">
        <v>11.71</v>
      </c>
      <c r="K209" s="4">
        <v>11.96</v>
      </c>
      <c r="L209" s="4">
        <v>11.3</v>
      </c>
      <c r="M209" s="4">
        <v>11</v>
      </c>
      <c r="N209" s="4">
        <v>10.75</v>
      </c>
      <c r="O209" s="4">
        <v>10.33</v>
      </c>
      <c r="P209" s="4">
        <v>9.77</v>
      </c>
      <c r="Q209" s="4">
        <v>10.31</v>
      </c>
      <c r="R209" s="4">
        <v>9.85</v>
      </c>
      <c r="S209" s="4">
        <v>9.61</v>
      </c>
      <c r="T209" s="4">
        <v>10.91</v>
      </c>
      <c r="U209" s="4">
        <v>9.93</v>
      </c>
      <c r="V209" s="4">
        <v>9.27</v>
      </c>
      <c r="W209" s="4">
        <v>10.17</v>
      </c>
      <c r="X209" s="4">
        <v>10.32</v>
      </c>
      <c r="Y209" s="4">
        <v>10.41</v>
      </c>
      <c r="Z209" s="4">
        <v>10.68</v>
      </c>
      <c r="AA209" s="4">
        <v>10.14</v>
      </c>
      <c r="AB209" s="4">
        <v>10.18</v>
      </c>
      <c r="AC209" s="4">
        <v>10.24</v>
      </c>
      <c r="AD209" s="4">
        <v>10.15</v>
      </c>
      <c r="AE209" s="4">
        <v>9.25</v>
      </c>
      <c r="AF209" s="4">
        <v>8.2899999999999991</v>
      </c>
      <c r="AG209" s="4">
        <v>8.35</v>
      </c>
      <c r="AH209" s="4">
        <v>8.41</v>
      </c>
      <c r="AI209" s="4">
        <v>8.32</v>
      </c>
      <c r="AJ209" s="4">
        <v>8.0399999999999991</v>
      </c>
      <c r="AK209" s="4">
        <v>8.9700000000000006</v>
      </c>
      <c r="AL209" s="4">
        <v>8.58</v>
      </c>
      <c r="AM209" s="4">
        <v>9.25</v>
      </c>
      <c r="AN209" s="4">
        <v>10.25</v>
      </c>
      <c r="AO209" s="4">
        <v>10.5</v>
      </c>
      <c r="AP209" s="4">
        <v>11.55</v>
      </c>
      <c r="AQ209" s="4">
        <v>11.61</v>
      </c>
      <c r="AR209" s="4">
        <v>10.4</v>
      </c>
      <c r="AS209" s="4">
        <v>11.07</v>
      </c>
      <c r="AT209" s="4">
        <v>11.4</v>
      </c>
      <c r="AU209" s="4">
        <v>11.86</v>
      </c>
      <c r="AV209" s="4">
        <v>12.16</v>
      </c>
      <c r="AW209" s="4">
        <v>12.59</v>
      </c>
      <c r="AX209" s="4">
        <v>12.95</v>
      </c>
      <c r="AY209" s="12">
        <v>14.85</v>
      </c>
      <c r="AZ209" s="12">
        <v>14.16</v>
      </c>
      <c r="BA209" s="12">
        <v>14.29</v>
      </c>
      <c r="BB209" s="18">
        <v>15.7</v>
      </c>
      <c r="BC209" s="63">
        <v>15.97</v>
      </c>
      <c r="BD209" s="63">
        <v>15.54</v>
      </c>
      <c r="BE209" s="63">
        <v>15.85</v>
      </c>
      <c r="BF209" s="63">
        <v>17.07</v>
      </c>
      <c r="BG209" s="91" cm="1">
        <f t="array" aca="1" ref="BG209" ca="1">_FV(EE209,"Preço")</f>
        <v>16.53</v>
      </c>
      <c r="BH209" s="93" t="s">
        <v>206</v>
      </c>
      <c r="BI209" s="32" cm="1">
        <f t="array" aca="1" ref="BI209" ca="1">_FV(EE209,"Beta")</f>
        <v>1.978</v>
      </c>
      <c r="BJ209" s="96" cm="1">
        <f t="array" aca="1" ref="BJ209" ca="1">_FV(EE209,"Variação (%)",TRUE)</f>
        <v>-1.4311000000000001E-2</v>
      </c>
      <c r="BK209" s="49"/>
      <c r="BL209" s="49"/>
      <c r="BN209" s="32"/>
      <c r="BO209" s="20" cm="1">
        <f t="array" aca="1" ref="BO209" ca="1">_FV(EE209,"Baixo")</f>
        <v>16</v>
      </c>
      <c r="BP209" s="20" cm="1">
        <f t="array" aca="1" ref="BP209" ca="1">_FV(EE209,"Alto")</f>
        <v>16.62</v>
      </c>
      <c r="BQ209" s="32"/>
      <c r="BR209" s="74">
        <f ca="1">SQRT(22.5*(BG209/VLOOKUP(BH209,Fundamentus!A:U,3,FALSE))*(BG209/VLOOKUP(BH209,Fundamentus!A:U,4,FALSE)))</f>
        <v>16.319352967783125</v>
      </c>
      <c r="BT209" s="73">
        <f t="shared" ca="1" si="235"/>
        <v>-3.1634446397188001E-2</v>
      </c>
      <c r="BU209" s="36">
        <f t="shared" si="236"/>
        <v>-2.0395550061804702E-2</v>
      </c>
      <c r="BV209" s="8"/>
      <c r="BW209" s="72">
        <f t="shared" si="237"/>
        <v>8.0399999999999991</v>
      </c>
      <c r="BX209" s="72">
        <f t="shared" si="238"/>
        <v>11.396206896551728</v>
      </c>
      <c r="BY209" s="72">
        <f t="shared" si="239"/>
        <v>17.07</v>
      </c>
      <c r="BZ209" s="17"/>
      <c r="CA209" s="17"/>
      <c r="CB209" s="43">
        <f t="shared" si="240"/>
        <v>15.802555461360956</v>
      </c>
      <c r="CC209" s="18">
        <f t="shared" si="241"/>
        <v>16.957403936270111</v>
      </c>
      <c r="CD209" s="43">
        <f t="shared" si="242"/>
        <v>18.112252411179266</v>
      </c>
      <c r="CE209" s="98">
        <f t="shared" ca="1" si="243"/>
        <v>-0.37009525107069274</v>
      </c>
      <c r="CF209" s="17"/>
      <c r="CG209" s="20">
        <f t="shared" si="244"/>
        <v>2.0199999999999996</v>
      </c>
      <c r="CH209" s="20">
        <f t="shared" si="245"/>
        <v>5.0299999999999994</v>
      </c>
      <c r="CI209" s="20">
        <f t="shared" si="246"/>
        <v>11.05</v>
      </c>
      <c r="CJ209" s="49">
        <f t="shared" si="247"/>
        <v>14.06</v>
      </c>
      <c r="CK209" s="20">
        <f t="shared" si="248"/>
        <v>20.080000000000002</v>
      </c>
      <c r="CL209" s="20">
        <f t="shared" si="249"/>
        <v>23.090000000000003</v>
      </c>
      <c r="CM209" s="20">
        <f t="shared" si="250"/>
        <v>29.110000000000003</v>
      </c>
      <c r="CN209" s="2" cm="1">
        <f t="array" aca="1" ref="CN209" ca="1">MAX(_xlfn._xlws.FILTER(CG209:CM209,CG209:CM209&lt;BG209))</f>
        <v>14.06</v>
      </c>
      <c r="CO209" s="2" cm="1">
        <f t="array" aca="1" ref="CO209" ca="1">MIN(_xlfn._xlws.FILTER($CG209:$CM209,$CG209:$CM209&gt;BG209))</f>
        <v>20.080000000000002</v>
      </c>
      <c r="CP209" s="19">
        <f t="shared" ca="1" si="259"/>
        <v>0.42816500711237571</v>
      </c>
      <c r="CQ209" s="23">
        <f t="shared" ca="1" si="260"/>
        <v>-0.21408250355618785</v>
      </c>
      <c r="CR209" s="23">
        <f t="shared" ca="1" si="261"/>
        <v>-0.14272166903745856</v>
      </c>
      <c r="CS209" s="23">
        <f t="shared" ca="1" si="262"/>
        <v>-8.5633001422475138E-2</v>
      </c>
      <c r="CT209" s="23">
        <f t="shared" ca="1" si="263"/>
        <v>-4.7573889679152853E-2</v>
      </c>
      <c r="CU209" s="23">
        <f t="shared" ca="1" si="264"/>
        <v>-2.5186176888963276E-2</v>
      </c>
      <c r="CV209" s="23">
        <f t="shared" ca="1" si="265"/>
        <v>-1.2974697185223507E-2</v>
      </c>
      <c r="CW209" s="23">
        <f t="shared" ca="1" si="266"/>
        <v>-6.5871539555750107E-3</v>
      </c>
      <c r="CX209" s="24">
        <f t="shared" ca="1" si="267"/>
        <v>6.5871539555750107E-3</v>
      </c>
      <c r="CY209" s="24">
        <f t="shared" ca="1" si="268"/>
        <v>1.2974697185223507E-2</v>
      </c>
      <c r="CZ209" s="24">
        <f t="shared" ca="1" si="269"/>
        <v>2.5186176888963276E-2</v>
      </c>
      <c r="DA209" s="24">
        <f t="shared" ca="1" si="270"/>
        <v>4.7573889679152853E-2</v>
      </c>
      <c r="DB209" s="24">
        <f t="shared" ca="1" si="271"/>
        <v>8.5633001422475138E-2</v>
      </c>
      <c r="DC209" s="24">
        <f t="shared" ca="1" si="272"/>
        <v>0.14272166903745856</v>
      </c>
      <c r="DD209" s="24">
        <f t="shared" ca="1" si="273"/>
        <v>0.21408250355618785</v>
      </c>
      <c r="DF209" s="19" cm="1">
        <f t="array" aca="1" ref="DF209" ca="1">MAX(_xlfn._xlws.FILTER(CQ209:DD209,CQ209:DD209&lt;BJ209))</f>
        <v>-2.5186176888963276E-2</v>
      </c>
      <c r="DG209" s="19" cm="1">
        <f t="array" aca="1" ref="DG209" ca="1">MIN(_xlfn._xlws.FILTER(CQ209:DD209,CQ209:DD209&gt;BJ209))</f>
        <v>-1.2974697185223507E-2</v>
      </c>
      <c r="DH209" s="2" cm="1">
        <f t="array" aca="1" ref="DH209" ca="1">_FV(EE209,"Fechamento anterior",TRUE)</f>
        <v>16.77</v>
      </c>
      <c r="DI209" s="36">
        <f t="shared" ca="1" si="251"/>
        <v>0.89054783102241497</v>
      </c>
      <c r="DJ209" s="18">
        <f t="shared" ca="1" si="274"/>
        <v>16.347627813572085</v>
      </c>
      <c r="DK209" s="18">
        <f t="shared" ca="1" si="275"/>
        <v>16.552414328203803</v>
      </c>
      <c r="DL209" s="9"/>
      <c r="DM209" s="9"/>
      <c r="DN209" s="9"/>
      <c r="DO209" s="9"/>
      <c r="DP209" s="79">
        <v>3.5819581958195831E-2</v>
      </c>
      <c r="DQ209" s="79">
        <v>2.1070342328350491E-2</v>
      </c>
      <c r="DR209" s="79">
        <v>1.1859941140638647E-2</v>
      </c>
      <c r="DS209" s="79">
        <f t="shared" ca="1" si="252"/>
        <v>1.2211479703739769E-2</v>
      </c>
      <c r="DT209" s="47"/>
      <c r="DU209" s="43">
        <f t="shared" si="253"/>
        <v>0.5774242374545776</v>
      </c>
      <c r="DV209" s="83">
        <f t="shared" ca="1" si="254"/>
        <v>2.4041000000000001</v>
      </c>
      <c r="DW209" s="83">
        <f t="shared" ca="1" si="255"/>
        <v>3.4091</v>
      </c>
      <c r="DX209" s="83">
        <f t="shared" ca="1" si="234"/>
        <v>-1.0049999999999999</v>
      </c>
      <c r="DY209" s="67"/>
      <c r="DZ209" s="67"/>
      <c r="EA209" s="85"/>
      <c r="EB209" s="44">
        <v>8758400</v>
      </c>
      <c r="EC209" s="44" cm="1">
        <f t="array" aca="1" ref="EC209" ca="1">_FV(EE209,"Volume")</f>
        <v>3086100</v>
      </c>
      <c r="EE209" s="2" t="e" vm="211">
        <v>#VALUE!</v>
      </c>
      <c r="EG209" s="10" cm="1">
        <f t="array" aca="1" ref="EG209" ca="1">_FV(EE209,"Ações em circulação",TRUE)</f>
        <v>274088800</v>
      </c>
      <c r="EH209" s="21">
        <f>VLOOKUP(BH209,Fundamentus!A:U,5,FALSE)</f>
        <v>0.89100000000000001</v>
      </c>
      <c r="EI209" s="2">
        <f t="shared" ca="1" si="256"/>
        <v>5084947097.6430979</v>
      </c>
      <c r="EJ209" s="20">
        <v>311913054.40000004</v>
      </c>
      <c r="EK209" s="20">
        <f t="shared" ca="1" si="257"/>
        <v>302045857.60000002</v>
      </c>
      <c r="EM209" s="40" t="str">
        <f>IF(VLOOKUP(BH209,Fundamentus!A:U,3,FALSE)&lt;15,"Bom",IF(VLOOKUP(BH209,Fundamentus!A:U,3,FALSE)&gt;15,"Ruim","n/a"))</f>
        <v>Bom</v>
      </c>
      <c r="EN209" s="36" t="str">
        <f>IF(VLOOKUP(BH209,Fundamentus!A:U,4,FALSE)&lt;1,"Baixo",IF(VLOOKUP(BH209,Fundamentus!A:U,4,FALSE)&lt;1.5,"Moderado",IF(VLOOKUP(BH209,Fundamentus!A:U,4,FALSE)&gt;1.5,"Alto","n/a")))</f>
        <v>Alto</v>
      </c>
      <c r="EO209" s="20" t="str">
        <f>IF(VLOOKUP(BH209,Fundamentus!A:U,8,FALSE)&lt;0,"Risco elevado",IF(VLOOKUP(BH209,Fundamentus!A:U,8,FALSE)&lt;1,"Saudável",IF(VLOOKUP(BH209,Fundamentus!A:U,8,FALSE)&lt;3,"Estável",IF(VLOOKUP(BH209,Fundamentus!A:U,8,FALSE)&gt;3,"Alerta","n/a"))))</f>
        <v>Alerta</v>
      </c>
      <c r="EP209" s="36" t="str">
        <f t="shared" si="258"/>
        <v>Ruim</v>
      </c>
      <c r="EQ209" s="20" t="str">
        <f>IF(VLOOKUP(BH209,Fundamentus!A:U,12,FALSE)&lt;2,"Subvalorizada",IF(VLOOKUP(BH209,Fundamentus!A:U,12,FALSE)&lt;6,"Muita barata",IF(VLOOKUP(BH209,Fundamentus!A:U,12,FALSE)&lt;6,"Barata",IF(VLOOKUP(BH209,Fundamentus!A:U,12,FALSE)&lt;8,"Atrativa",IF(VLOOKUP(BH209,Fundamentus!A:U,12,FALSE)&gt;8,"Supervalorizada","n/a")))))</f>
        <v>Muita barata</v>
      </c>
      <c r="ES209" s="20" t="str">
        <f>IF(VLOOKUP(BH209,Fundamentus!A:U,17,FALSE)&lt;0.1,"Fraco retorno",IF(VLOOKUP(BH209,Fundamentus!A:U,17,FALSE)&gt;0.1,"Bom retorno","n/a"))</f>
        <v>Bom retorno</v>
      </c>
      <c r="ET209" s="20" t="str">
        <f>IF(VLOOKUP(BH209,Fundamentus!A:U,16,FALSE)&lt;0.1,"Ineficiente",IF(VLOOKUP(BH209,Fundamentus!A:U,16,FALSE)&gt;0.1,"Eficiente","n/a"))</f>
        <v>Eficiente</v>
      </c>
      <c r="EU209" s="41" t="str">
        <f>IF(VLOOKUP(BH209,Fundamentus!A:U,16,FALSE)&lt;0.1,"Oper. Ineficiente",IF(VLOOKUP(BH209,Fundamentus!A:U,16,FALSE)&gt;0.1,"Oper.Eficiente","n/a"))</f>
        <v>Oper.Eficiente</v>
      </c>
      <c r="EV209" s="42">
        <f>VLOOKUP(BH209,Fundamentus!A:U,14,FALSE)</f>
        <v>5.9400000000000001E-2</v>
      </c>
      <c r="EW209" s="20" t="str">
        <f>IF(VLOOKUP(BH209,Fundamentus!A:U,21,FALSE)&lt;0,"Negativo",IF(VLOOKUP(BH209,Fundamentus!A:U,21,FALSE)&lt;0.05,"Fraco",IF(VLOOKUP(BH209,Fundamentus!A:U,21,FALSE)&lt;0.1,"Bom",IF(VLOOKUP(BH209,Fundamentus!A:U,21,FALSE)&gt;0.1,"Muito bom","n/a"))))</f>
        <v>Bom</v>
      </c>
      <c r="EY209" s="37" t="str">
        <f>IF(VLOOKUP(BH209,Fundamentus!A:U,15,FALSE)&gt;1,"Bom",IF(VLOOKUP(BH209,Fundamentus!A:U,15,FALSE)&lt;1,"Ruim","n/a"))</f>
        <v>Bom</v>
      </c>
      <c r="EZ209" s="20" t="str">
        <f>IF(VLOOKUP(BH209,Fundamentus!A:U,20,FALSE)&lt;0.5,"Baixa",IF(VLOOKUP(BH209,Fundamentus!A:U,20,FALSE)&lt;1,"Moderada",IF(VLOOKUP(BH209,Fundamentus!A:U,20,FALSE)&lt;2,"Alerta",IF(VLOOKUP(BH209,Fundamentus!A:U,20,FALSE)&gt;2,"Alta","n/a"))))</f>
        <v>Alerta</v>
      </c>
    </row>
    <row r="210" spans="1:156" s="2" customFormat="1" ht="11.25" hidden="1" x14ac:dyDescent="0.2">
      <c r="A210" s="4">
        <v>12.01</v>
      </c>
      <c r="B210" s="4">
        <v>10.61</v>
      </c>
      <c r="C210" s="4">
        <v>10.55</v>
      </c>
      <c r="D210" s="4">
        <v>10.07</v>
      </c>
      <c r="E210" s="4">
        <v>10.5</v>
      </c>
      <c r="F210" s="4">
        <v>9.7200000000000006</v>
      </c>
      <c r="G210" s="4">
        <v>9.06</v>
      </c>
      <c r="H210" s="4">
        <v>9.44</v>
      </c>
      <c r="I210" s="4">
        <v>9.4</v>
      </c>
      <c r="J210" s="4">
        <v>9.99</v>
      </c>
      <c r="K210" s="4">
        <v>10.07</v>
      </c>
      <c r="L210" s="4">
        <v>9.98</v>
      </c>
      <c r="M210" s="4">
        <v>9.61</v>
      </c>
      <c r="N210" s="4">
        <v>9.57</v>
      </c>
      <c r="O210" s="4">
        <v>8.98</v>
      </c>
      <c r="P210" s="4">
        <v>9.15</v>
      </c>
      <c r="Q210" s="4">
        <v>9.68</v>
      </c>
      <c r="R210" s="4">
        <v>9.91</v>
      </c>
      <c r="S210" s="4">
        <v>9.6199999999999992</v>
      </c>
      <c r="T210" s="4">
        <v>9.68</v>
      </c>
      <c r="U210" s="4">
        <v>9.27</v>
      </c>
      <c r="V210" s="4">
        <v>9.08</v>
      </c>
      <c r="W210" s="4">
        <v>7.54</v>
      </c>
      <c r="X210" s="4">
        <v>7.55</v>
      </c>
      <c r="Y210" s="4">
        <v>7.6</v>
      </c>
      <c r="Z210" s="4">
        <v>7.55</v>
      </c>
      <c r="AA210" s="4">
        <v>7.61</v>
      </c>
      <c r="AB210" s="4">
        <v>7.7</v>
      </c>
      <c r="AC210" s="4">
        <v>6.98</v>
      </c>
      <c r="AD210" s="4">
        <v>7.28</v>
      </c>
      <c r="AE210" s="4">
        <v>6.78</v>
      </c>
      <c r="AF210" s="4">
        <v>6.68</v>
      </c>
      <c r="AG210" s="4">
        <v>6.2</v>
      </c>
      <c r="AH210" s="4">
        <v>6.01</v>
      </c>
      <c r="AI210" s="4">
        <v>5.42</v>
      </c>
      <c r="AJ210" s="4">
        <v>5.66</v>
      </c>
      <c r="AK210" s="4">
        <v>5.4</v>
      </c>
      <c r="AL210" s="4">
        <v>5.34</v>
      </c>
      <c r="AM210" s="4">
        <v>5.17</v>
      </c>
      <c r="AN210" s="4">
        <v>5.61</v>
      </c>
      <c r="AO210" s="4">
        <v>5.56</v>
      </c>
      <c r="AP210" s="4">
        <v>6.09</v>
      </c>
      <c r="AQ210" s="4">
        <v>5.86</v>
      </c>
      <c r="AR210" s="4">
        <v>5.39</v>
      </c>
      <c r="AS210" s="4">
        <v>5.64</v>
      </c>
      <c r="AT210" s="4">
        <v>5.44</v>
      </c>
      <c r="AU210" s="4">
        <v>5.62</v>
      </c>
      <c r="AV210" s="4">
        <v>5.42</v>
      </c>
      <c r="AW210" s="4">
        <v>5.4</v>
      </c>
      <c r="AX210" s="4">
        <v>5.65</v>
      </c>
      <c r="AY210" s="12">
        <v>6.27</v>
      </c>
      <c r="AZ210" s="12">
        <v>6.81</v>
      </c>
      <c r="BA210" s="12">
        <v>6.74</v>
      </c>
      <c r="BB210" s="18">
        <v>6.67</v>
      </c>
      <c r="BC210" s="63">
        <v>6.59</v>
      </c>
      <c r="BD210" s="63">
        <v>6.32</v>
      </c>
      <c r="BE210" s="63">
        <v>6.22</v>
      </c>
      <c r="BF210" s="63">
        <v>5.83</v>
      </c>
      <c r="BG210" s="91" cm="1">
        <f t="array" aca="1" ref="BG210" ca="1">_FV(EE210,"Preço")</f>
        <v>6.02</v>
      </c>
      <c r="BH210" s="93" t="s">
        <v>207</v>
      </c>
      <c r="BI210" s="32" cm="1">
        <f t="array" aca="1" ref="BI210" ca="1">_FV(EE210,"Beta")</f>
        <v>1.4588000000000001</v>
      </c>
      <c r="BJ210" s="96" cm="1">
        <f t="array" aca="1" ref="BJ210" ca="1">_FV(EE210,"Variação (%)",TRUE)</f>
        <v>-2.7463999999999999E-2</v>
      </c>
      <c r="BK210" s="49"/>
      <c r="BL210" s="49"/>
      <c r="BN210" s="32"/>
      <c r="BO210" s="20" cm="1">
        <f t="array" aca="1" ref="BO210" ca="1">_FV(EE210,"Baixo")</f>
        <v>6.02</v>
      </c>
      <c r="BP210" s="20" cm="1">
        <f t="array" aca="1" ref="BP210" ca="1">_FV(EE210,"Alto")</f>
        <v>6.24</v>
      </c>
      <c r="BQ210" s="32"/>
      <c r="BR210" s="74">
        <f ca="1">SQRT(22.5*(BG210/VLOOKUP(BH210,Fundamentus!A:U,3,FALSE))*(BG210/VLOOKUP(BH210,Fundamentus!A:U,4,FALSE)))</f>
        <v>10.212357981765981</v>
      </c>
      <c r="BT210" s="73">
        <f t="shared" ca="1" si="235"/>
        <v>3.2590051457975902E-2</v>
      </c>
      <c r="BU210" s="36">
        <f t="shared" si="236"/>
        <v>-0.4820982514571191</v>
      </c>
      <c r="BV210" s="8"/>
      <c r="BW210" s="72">
        <f t="shared" si="237"/>
        <v>5.17</v>
      </c>
      <c r="BX210" s="72">
        <f t="shared" si="238"/>
        <v>7.6129310344827577</v>
      </c>
      <c r="BY210" s="72">
        <f t="shared" si="239"/>
        <v>12.01</v>
      </c>
      <c r="BZ210" s="17"/>
      <c r="CA210" s="17"/>
      <c r="CB210" s="43">
        <f t="shared" si="240"/>
        <v>5.1170740661994989</v>
      </c>
      <c r="CC210" s="18">
        <f t="shared" si="241"/>
        <v>5.6624179943769377</v>
      </c>
      <c r="CD210" s="43">
        <f t="shared" si="242"/>
        <v>6.2077619225543765</v>
      </c>
      <c r="CE210" s="98">
        <f t="shared" ca="1" si="243"/>
        <v>0.65569998517837214</v>
      </c>
      <c r="CF210" s="17"/>
      <c r="CG210" s="20">
        <f t="shared" si="244"/>
        <v>-3.5100000000000016</v>
      </c>
      <c r="CH210" s="20">
        <f t="shared" si="245"/>
        <v>0.82999999999999918</v>
      </c>
      <c r="CI210" s="20">
        <f t="shared" si="246"/>
        <v>3.3299999999999983</v>
      </c>
      <c r="CJ210" s="49">
        <f t="shared" si="247"/>
        <v>7.669999999999999</v>
      </c>
      <c r="CK210" s="20">
        <f t="shared" si="248"/>
        <v>10.169999999999998</v>
      </c>
      <c r="CL210" s="20">
        <f t="shared" si="249"/>
        <v>14.509999999999998</v>
      </c>
      <c r="CM210" s="20">
        <f t="shared" si="250"/>
        <v>17.009999999999998</v>
      </c>
      <c r="CN210" s="2" cm="1">
        <f t="array" aca="1" ref="CN210" ca="1">MAX(_xlfn._xlws.FILTER(CG210:CM210,CG210:CM210&lt;BG210))</f>
        <v>3.3299999999999983</v>
      </c>
      <c r="CO210" s="2" cm="1">
        <f t="array" aca="1" ref="CO210" ca="1">MIN(_xlfn._xlws.FILTER($CG210:$CM210,$CG210:$CM210&gt;BG210))</f>
        <v>7.669999999999999</v>
      </c>
      <c r="CP210" s="19">
        <f t="shared" ca="1" si="259"/>
        <v>1.3033033033033044</v>
      </c>
      <c r="CQ210" s="23">
        <f t="shared" ca="1" si="260"/>
        <v>-0.65165165165165218</v>
      </c>
      <c r="CR210" s="23">
        <f t="shared" ca="1" si="261"/>
        <v>-0.4344344344344348</v>
      </c>
      <c r="CS210" s="23">
        <f t="shared" ca="1" si="262"/>
        <v>-0.26066066066066085</v>
      </c>
      <c r="CT210" s="23">
        <f t="shared" ca="1" si="263"/>
        <v>-0.1448114781448116</v>
      </c>
      <c r="CU210" s="23">
        <f t="shared" ca="1" si="264"/>
        <v>-7.6664900194312019E-2</v>
      </c>
      <c r="CV210" s="23">
        <f t="shared" ca="1" si="265"/>
        <v>-3.9494039494039526E-2</v>
      </c>
      <c r="CW210" s="23">
        <f t="shared" ca="1" si="266"/>
        <v>-2.0050820050820067E-2</v>
      </c>
      <c r="CX210" s="24">
        <f t="shared" ca="1" si="267"/>
        <v>2.0050820050820067E-2</v>
      </c>
      <c r="CY210" s="24">
        <f t="shared" ca="1" si="268"/>
        <v>3.9494039494039526E-2</v>
      </c>
      <c r="CZ210" s="24">
        <f t="shared" ca="1" si="269"/>
        <v>7.6664900194312019E-2</v>
      </c>
      <c r="DA210" s="24">
        <f t="shared" ca="1" si="270"/>
        <v>0.1448114781448116</v>
      </c>
      <c r="DB210" s="24">
        <f t="shared" ca="1" si="271"/>
        <v>0.26066066066066085</v>
      </c>
      <c r="DC210" s="24">
        <f t="shared" ca="1" si="272"/>
        <v>0.4344344344344348</v>
      </c>
      <c r="DD210" s="24">
        <f t="shared" ca="1" si="273"/>
        <v>0.65165165165165218</v>
      </c>
      <c r="DF210" s="19" cm="1">
        <f t="array" aca="1" ref="DF210" ca="1">MAX(_xlfn._xlws.FILTER(CQ210:DD210,CQ210:DD210&lt;BJ210))</f>
        <v>-3.9494039494039526E-2</v>
      </c>
      <c r="DG210" s="19" cm="1">
        <f t="array" aca="1" ref="DG210" ca="1">MIN(_xlfn._xlws.FILTER(CQ210:DD210,CQ210:DD210&gt;BJ210))</f>
        <v>-2.0050820050820067E-2</v>
      </c>
      <c r="DH210" s="2" cm="1">
        <f t="array" aca="1" ref="DH210" ca="1">_FV(EE210,"Fechamento anterior",TRUE)</f>
        <v>6.19</v>
      </c>
      <c r="DI210" s="36">
        <f t="shared" ca="1" si="251"/>
        <v>0.61874467235692465</v>
      </c>
      <c r="DJ210" s="18">
        <f t="shared" ca="1" si="274"/>
        <v>5.9455318955318956</v>
      </c>
      <c r="DK210" s="18">
        <f t="shared" ca="1" si="275"/>
        <v>6.0658854238854243</v>
      </c>
      <c r="DL210" s="9"/>
      <c r="DM210" s="9"/>
      <c r="DN210" s="9"/>
      <c r="DO210" s="9"/>
      <c r="DP210" s="79">
        <v>4.8549374500931601E-2</v>
      </c>
      <c r="DQ210" s="79">
        <v>4.8549374500931601E-2</v>
      </c>
      <c r="DR210" s="79">
        <v>4.8549374500931601E-2</v>
      </c>
      <c r="DS210" s="79">
        <f t="shared" ca="1" si="252"/>
        <v>1.9443219443219459E-2</v>
      </c>
      <c r="DT210" s="47"/>
      <c r="DU210" s="43">
        <f t="shared" si="253"/>
        <v>0.27267196408871958</v>
      </c>
      <c r="DV210" s="83">
        <f t="shared" ca="1" si="254"/>
        <v>1.8849</v>
      </c>
      <c r="DW210" s="83">
        <f t="shared" ca="1" si="255"/>
        <v>4.2051999999999996</v>
      </c>
      <c r="DX210" s="83">
        <f t="shared" ca="1" si="234"/>
        <v>-2.3202999999999996</v>
      </c>
      <c r="DY210" s="67"/>
      <c r="DZ210" s="67"/>
      <c r="EA210" s="85"/>
      <c r="EB210" s="44">
        <v>492400</v>
      </c>
      <c r="EC210" s="44" cm="1">
        <f t="array" aca="1" ref="EC210" ca="1">_FV(EE210,"Volume")</f>
        <v>386800</v>
      </c>
      <c r="EE210" s="2" t="e" vm="212">
        <v>#VALUE!</v>
      </c>
      <c r="EG210" s="10" cm="1">
        <f t="array" aca="1" ref="EG210" ca="1">_FV(EE210,"Ações em circulação",TRUE)</f>
        <v>286431100</v>
      </c>
      <c r="EH210" s="21">
        <f>VLOOKUP(BH210,Fundamentus!A:U,5,FALSE)</f>
        <v>0.182</v>
      </c>
      <c r="EI210" s="2">
        <f t="shared" ca="1" si="256"/>
        <v>9474259461.5384598</v>
      </c>
      <c r="EJ210" s="20">
        <v>202772759.4357143</v>
      </c>
      <c r="EK210" s="20">
        <f t="shared" ca="1" si="257"/>
        <v>209381134.09999996</v>
      </c>
      <c r="EM210" s="40" t="str">
        <f>IF(VLOOKUP(BH210,Fundamentus!A:U,3,FALSE)&lt;15,"Bom",IF(VLOOKUP(BH210,Fundamentus!A:U,3,FALSE)&gt;15,"Ruim","n/a"))</f>
        <v>Bom</v>
      </c>
      <c r="EN210" s="36" t="str">
        <f>IF(VLOOKUP(BH210,Fundamentus!A:U,4,FALSE)&lt;1,"Baixo",IF(VLOOKUP(BH210,Fundamentus!A:U,4,FALSE)&lt;1.5,"Moderado",IF(VLOOKUP(BH210,Fundamentus!A:U,4,FALSE)&gt;1.5,"Alto","n/a")))</f>
        <v>Baixo</v>
      </c>
      <c r="EO210" s="20" t="str">
        <f>IF(VLOOKUP(BH210,Fundamentus!A:U,8,FALSE)&lt;0,"Risco elevado",IF(VLOOKUP(BH210,Fundamentus!A:U,8,FALSE)&lt;1,"Saudável",IF(VLOOKUP(BH210,Fundamentus!A:U,8,FALSE)&lt;3,"Estável",IF(VLOOKUP(BH210,Fundamentus!A:U,8,FALSE)&gt;3,"Alerta","n/a"))))</f>
        <v>Saudável</v>
      </c>
      <c r="EP210" s="36" t="str">
        <f t="shared" si="258"/>
        <v>Ruim</v>
      </c>
      <c r="EQ210" s="20" t="str">
        <f>IF(VLOOKUP(BH210,Fundamentus!A:U,12,FALSE)&lt;2,"Subvalorizada",IF(VLOOKUP(BH210,Fundamentus!A:U,12,FALSE)&lt;6,"Muita barata",IF(VLOOKUP(BH210,Fundamentus!A:U,12,FALSE)&lt;6,"Barata",IF(VLOOKUP(BH210,Fundamentus!A:U,12,FALSE)&lt;8,"Atrativa",IF(VLOOKUP(BH210,Fundamentus!A:U,12,FALSE)&gt;8,"Supervalorizada","n/a")))))</f>
        <v>Muita barata</v>
      </c>
      <c r="ES210" s="20" t="str">
        <f>IF(VLOOKUP(BH210,Fundamentus!A:U,17,FALSE)&lt;0.1,"Fraco retorno",IF(VLOOKUP(BH210,Fundamentus!A:U,17,FALSE)&gt;0.1,"Bom retorno","n/a"))</f>
        <v>Bom retorno</v>
      </c>
      <c r="ET210" s="20" t="str">
        <f>IF(VLOOKUP(BH210,Fundamentus!A:U,16,FALSE)&lt;0.1,"Ineficiente",IF(VLOOKUP(BH210,Fundamentus!A:U,16,FALSE)&gt;0.1,"Eficiente","n/a"))</f>
        <v>Eficiente</v>
      </c>
      <c r="EU210" s="41" t="str">
        <f>IF(VLOOKUP(BH210,Fundamentus!A:U,16,FALSE)&lt;0.1,"Oper. Ineficiente",IF(VLOOKUP(BH210,Fundamentus!A:U,16,FALSE)&gt;0.1,"Oper.Eficiente","n/a"))</f>
        <v>Oper.Eficiente</v>
      </c>
      <c r="EV210" s="42">
        <f>VLOOKUP(BH210,Fundamentus!A:U,14,FALSE)</f>
        <v>2.2100000000000002E-2</v>
      </c>
      <c r="EW210" s="20" t="str">
        <f>IF(VLOOKUP(BH210,Fundamentus!A:U,21,FALSE)&lt;0,"Negativo",IF(VLOOKUP(BH210,Fundamentus!A:U,21,FALSE)&lt;0.05,"Fraco",IF(VLOOKUP(BH210,Fundamentus!A:U,21,FALSE)&lt;0.1,"Bom",IF(VLOOKUP(BH210,Fundamentus!A:U,21,FALSE)&gt;0.1,"Muito bom","n/a"))))</f>
        <v>Muito bom</v>
      </c>
      <c r="EY210" s="37" t="str">
        <f>IF(VLOOKUP(BH210,Fundamentus!A:U,15,FALSE)&gt;1,"Bom",IF(VLOOKUP(BH210,Fundamentus!A:U,15,FALSE)&lt;1,"Ruim","n/a"))</f>
        <v>Bom</v>
      </c>
      <c r="EZ210" s="20" t="str">
        <f>IF(VLOOKUP(BH210,Fundamentus!A:U,20,FALSE)&lt;0.5,"Baixa",IF(VLOOKUP(BH210,Fundamentus!A:U,20,FALSE)&lt;1,"Moderada",IF(VLOOKUP(BH210,Fundamentus!A:U,20,FALSE)&lt;2,"Alerta",IF(VLOOKUP(BH210,Fundamentus!A:U,20,FALSE)&gt;2,"Alta","n/a"))))</f>
        <v>Alta</v>
      </c>
    </row>
    <row r="211" spans="1:156" s="2" customFormat="1" ht="11.25" hidden="1" x14ac:dyDescent="0.2">
      <c r="A211" s="4">
        <v>7.27</v>
      </c>
      <c r="B211" s="4">
        <v>6.05</v>
      </c>
      <c r="C211" s="4">
        <v>7.07</v>
      </c>
      <c r="D211" s="4">
        <v>9.08</v>
      </c>
      <c r="E211" s="4">
        <v>8.81</v>
      </c>
      <c r="F211" s="4">
        <v>7.03</v>
      </c>
      <c r="G211" s="4">
        <v>6.06</v>
      </c>
      <c r="H211" s="4">
        <v>5.8</v>
      </c>
      <c r="I211" s="4">
        <v>6.25</v>
      </c>
      <c r="J211" s="4">
        <v>7.06</v>
      </c>
      <c r="K211" s="4">
        <v>7.35</v>
      </c>
      <c r="L211" s="4">
        <v>7.15</v>
      </c>
      <c r="M211" s="4">
        <v>7.25</v>
      </c>
      <c r="N211" s="4">
        <v>6.5</v>
      </c>
      <c r="O211" s="4">
        <v>6.45</v>
      </c>
      <c r="P211" s="4">
        <v>6.55</v>
      </c>
      <c r="Q211" s="4">
        <v>6.1</v>
      </c>
      <c r="R211" s="4">
        <v>6.66</v>
      </c>
      <c r="S211" s="4">
        <v>5.2</v>
      </c>
      <c r="T211" s="4">
        <v>6.2</v>
      </c>
      <c r="U211" s="4">
        <v>5.26</v>
      </c>
      <c r="V211" s="4">
        <v>4.8600000000000003</v>
      </c>
      <c r="W211" s="4">
        <v>5.07</v>
      </c>
      <c r="X211" s="4">
        <v>4.55</v>
      </c>
      <c r="Y211" s="4">
        <v>4.7</v>
      </c>
      <c r="Z211" s="4">
        <v>4.58</v>
      </c>
      <c r="AA211" s="4">
        <v>4.4400000000000004</v>
      </c>
      <c r="AB211" s="4">
        <v>4.37</v>
      </c>
      <c r="AC211" s="4">
        <v>3.95</v>
      </c>
      <c r="AD211" s="4">
        <v>3.33</v>
      </c>
      <c r="AE211" s="4">
        <v>2.1800000000000002</v>
      </c>
      <c r="AF211" s="4">
        <v>3.04</v>
      </c>
      <c r="AG211" s="4">
        <v>2.8</v>
      </c>
      <c r="AH211" s="4">
        <v>2.0299999999999998</v>
      </c>
      <c r="AI211" s="4">
        <v>2.39</v>
      </c>
      <c r="AJ211" s="4">
        <v>2.44</v>
      </c>
      <c r="AK211" s="4">
        <v>2.08</v>
      </c>
      <c r="AL211" s="4">
        <v>2.25</v>
      </c>
      <c r="AM211" s="4">
        <v>2.27</v>
      </c>
      <c r="AN211" s="4">
        <v>2.13</v>
      </c>
      <c r="AO211" s="4">
        <v>1.96</v>
      </c>
      <c r="AP211" s="4">
        <v>1.95</v>
      </c>
      <c r="AQ211" s="4">
        <v>4.9000000000000004</v>
      </c>
      <c r="AR211" s="4">
        <v>5.62</v>
      </c>
      <c r="AS211" s="4">
        <v>5.29</v>
      </c>
      <c r="AT211" s="4">
        <v>5.44</v>
      </c>
      <c r="AU211" s="4">
        <v>5.69</v>
      </c>
      <c r="AV211" s="4">
        <v>5.43</v>
      </c>
      <c r="AW211" s="4">
        <v>5.23</v>
      </c>
      <c r="AX211" s="4">
        <v>5.28</v>
      </c>
      <c r="AY211" s="12">
        <v>5.47</v>
      </c>
      <c r="AZ211" s="12">
        <v>6.26</v>
      </c>
      <c r="BA211" s="12">
        <v>6.05</v>
      </c>
      <c r="BB211" s="18">
        <v>5.36</v>
      </c>
      <c r="BC211" s="63">
        <v>4.78</v>
      </c>
      <c r="BD211" s="63">
        <v>5.2</v>
      </c>
      <c r="BE211" s="63">
        <v>5.04</v>
      </c>
      <c r="BF211" s="63">
        <v>4.62</v>
      </c>
      <c r="BG211" s="91" cm="1">
        <f t="array" aca="1" ref="BG211" ca="1">_FV(EE211,"Preço")</f>
        <v>4.5999999999999996</v>
      </c>
      <c r="BH211" s="93" t="s">
        <v>208</v>
      </c>
      <c r="BI211" s="32" cm="1">
        <f t="array" aca="1" ref="BI211" ca="1">_FV(EE211,"Beta")</f>
        <v>1.3976</v>
      </c>
      <c r="BJ211" s="96" cm="1">
        <f t="array" aca="1" ref="BJ211" ca="1">_FV(EE211,"Variação (%)",TRUE)</f>
        <v>1.0989000000000001E-2</v>
      </c>
      <c r="BK211" s="49"/>
      <c r="BL211" s="49"/>
      <c r="BN211" s="32"/>
      <c r="BO211" s="20" cm="1">
        <f t="array" aca="1" ref="BO211" ca="1">_FV(EE211,"Baixo")</f>
        <v>4.43</v>
      </c>
      <c r="BP211" s="20" cm="1">
        <f t="array" aca="1" ref="BP211" ca="1">_FV(EE211,"Alto")</f>
        <v>4.88</v>
      </c>
      <c r="BQ211" s="32"/>
      <c r="BR211" s="74" t="e">
        <f ca="1">SQRT(22.5*(BG211/VLOOKUP(BH211,Fundamentus!A:U,3,FALSE))*(BG211/VLOOKUP(BH211,Fundamentus!A:U,4,FALSE)))</f>
        <v>#NUM!</v>
      </c>
      <c r="BT211" s="73">
        <f t="shared" ca="1" si="235"/>
        <v>-4.3290043290044287E-3</v>
      </c>
      <c r="BU211" s="36">
        <f t="shared" si="236"/>
        <v>-0.30674002751031632</v>
      </c>
      <c r="BV211" s="8"/>
      <c r="BW211" s="72">
        <f t="shared" si="237"/>
        <v>1.95</v>
      </c>
      <c r="BX211" s="72">
        <f t="shared" si="238"/>
        <v>5.0720689655172411</v>
      </c>
      <c r="BY211" s="72">
        <f t="shared" si="239"/>
        <v>9.08</v>
      </c>
      <c r="BZ211" s="17"/>
      <c r="CA211" s="17"/>
      <c r="CB211" s="43">
        <f t="shared" si="240"/>
        <v>4.320152899852383</v>
      </c>
      <c r="CC211" s="18">
        <f t="shared" si="241"/>
        <v>4.7695970009372672</v>
      </c>
      <c r="CD211" s="43">
        <f t="shared" si="242"/>
        <v>5.2190411020221514</v>
      </c>
      <c r="CE211" s="98">
        <f t="shared" ca="1" si="243"/>
        <v>-0.37734837442050817</v>
      </c>
      <c r="CF211" s="17"/>
      <c r="CG211" s="20">
        <f t="shared" si="244"/>
        <v>-5.7766666666666682</v>
      </c>
      <c r="CH211" s="20">
        <f t="shared" si="245"/>
        <v>-1.913333333333334</v>
      </c>
      <c r="CI211" s="20">
        <f t="shared" si="246"/>
        <v>1.3533333333333317</v>
      </c>
      <c r="CJ211" s="49">
        <f t="shared" si="247"/>
        <v>5.2166666666666659</v>
      </c>
      <c r="CK211" s="20">
        <f t="shared" si="248"/>
        <v>8.4833333333333325</v>
      </c>
      <c r="CL211" s="20">
        <f t="shared" si="249"/>
        <v>12.346666666666666</v>
      </c>
      <c r="CM211" s="20">
        <f t="shared" si="250"/>
        <v>15.613333333333332</v>
      </c>
      <c r="CN211" s="2" cm="1">
        <f t="array" aca="1" ref="CN211" ca="1">MAX(_xlfn._xlws.FILTER(CG211:CM211,CG211:CM211&lt;BG211))</f>
        <v>1.3533333333333317</v>
      </c>
      <c r="CO211" s="2" cm="1">
        <f t="array" aca="1" ref="CO211" ca="1">MIN(_xlfn._xlws.FILTER($CG211:$CM211,$CG211:$CM211&gt;BG211))</f>
        <v>5.2166666666666659</v>
      </c>
      <c r="CP211" s="19">
        <f t="shared" ca="1" si="259"/>
        <v>2.854679802955669</v>
      </c>
      <c r="CQ211" s="23">
        <f t="shared" ca="1" si="260"/>
        <v>-1.4273399014778345</v>
      </c>
      <c r="CR211" s="23">
        <f t="shared" ca="1" si="261"/>
        <v>-0.95155993431855634</v>
      </c>
      <c r="CS211" s="23">
        <f t="shared" ca="1" si="262"/>
        <v>-0.57093596059113383</v>
      </c>
      <c r="CT211" s="23">
        <f t="shared" ca="1" si="263"/>
        <v>-0.31718664477285213</v>
      </c>
      <c r="CU211" s="23">
        <f t="shared" ca="1" si="264"/>
        <v>-0.16792234135033346</v>
      </c>
      <c r="CV211" s="23">
        <f t="shared" ca="1" si="265"/>
        <v>-8.6505448574414209E-2</v>
      </c>
      <c r="CW211" s="23">
        <f t="shared" ca="1" si="266"/>
        <v>-4.39181508147026E-2</v>
      </c>
      <c r="CX211" s="24">
        <f t="shared" ca="1" si="267"/>
        <v>4.39181508147026E-2</v>
      </c>
      <c r="CY211" s="24">
        <f t="shared" ca="1" si="268"/>
        <v>8.6505448574414209E-2</v>
      </c>
      <c r="CZ211" s="24">
        <f t="shared" ca="1" si="269"/>
        <v>0.16792234135033346</v>
      </c>
      <c r="DA211" s="24">
        <f t="shared" ca="1" si="270"/>
        <v>0.31718664477285213</v>
      </c>
      <c r="DB211" s="24">
        <f t="shared" ca="1" si="271"/>
        <v>0.57093596059113383</v>
      </c>
      <c r="DC211" s="24">
        <f t="shared" ca="1" si="272"/>
        <v>0.95155993431855634</v>
      </c>
      <c r="DD211" s="24">
        <f t="shared" ca="1" si="273"/>
        <v>1.4273399014778345</v>
      </c>
      <c r="DF211" s="19" cm="1">
        <f t="array" aca="1" ref="DF211" ca="1">MAX(_xlfn._xlws.FILTER(CQ211:DD211,CQ211:DD211&lt;BJ211))</f>
        <v>-4.39181508147026E-2</v>
      </c>
      <c r="DG211" s="19" cm="1">
        <f t="array" aca="1" ref="DG211" ca="1">MIN(_xlfn._xlws.FILTER(CQ211:DD211,CQ211:DD211&gt;BJ211))</f>
        <v>4.39181508147026E-2</v>
      </c>
      <c r="DH211" s="2" cm="1">
        <f t="array" aca="1" ref="DH211" ca="1">_FV(EE211,"Fechamento anterior",TRUE)</f>
        <v>4.55</v>
      </c>
      <c r="DI211" s="36">
        <f t="shared" ca="1" si="251"/>
        <v>0.62510785159620275</v>
      </c>
      <c r="DJ211" s="18">
        <f t="shared" ca="1" si="274"/>
        <v>4.3501724137931026</v>
      </c>
      <c r="DK211" s="18">
        <f t="shared" ca="1" si="275"/>
        <v>4.749827586206897</v>
      </c>
      <c r="DL211" s="9"/>
      <c r="DM211" s="9"/>
      <c r="DN211" s="9"/>
      <c r="DO211" s="9"/>
      <c r="DP211" s="79">
        <v>2.9388560157790965E-2</v>
      </c>
      <c r="DQ211" s="79">
        <v>2.9388560157790965E-2</v>
      </c>
      <c r="DR211" s="79">
        <v>1.4248998864383499E-2</v>
      </c>
      <c r="DS211" s="79">
        <f t="shared" ca="1" si="252"/>
        <v>8.78363016294052E-2</v>
      </c>
      <c r="DT211" s="47"/>
      <c r="DU211" s="43">
        <f t="shared" si="253"/>
        <v>0.22472205054244232</v>
      </c>
      <c r="DV211" s="83">
        <f t="shared" ca="1" si="254"/>
        <v>1.8236999999999999</v>
      </c>
      <c r="DW211" s="83">
        <f t="shared" ca="1" si="255"/>
        <v>0.29869999999999997</v>
      </c>
      <c r="DX211" s="83">
        <f t="shared" ca="1" si="234"/>
        <v>1.5249999999999999</v>
      </c>
      <c r="DY211" s="67"/>
      <c r="DZ211" s="67"/>
      <c r="EA211" s="85"/>
      <c r="EB211" s="44">
        <v>947500</v>
      </c>
      <c r="EC211" s="44" cm="1">
        <f t="array" aca="1" ref="EC211" ca="1">_FV(EE211,"Volume")</f>
        <v>2635400</v>
      </c>
      <c r="EE211" s="2" t="e" vm="213">
        <v>#VALUE!</v>
      </c>
      <c r="EG211" s="10" cm="1">
        <f t="array" aca="1" ref="EG211" ca="1">_FV(EE211,"Ações em circulação",TRUE)</f>
        <v>651756300</v>
      </c>
      <c r="EH211" s="21">
        <f>VLOOKUP(BH211,Fundamentus!A:U,5,FALSE)</f>
        <v>0.48799999999999999</v>
      </c>
      <c r="EI211" s="2">
        <f t="shared" ca="1" si="256"/>
        <v>6143604467.2131147</v>
      </c>
      <c r="EJ211" s="20">
        <v>-856439831.78852463</v>
      </c>
      <c r="EK211" s="20">
        <f t="shared" ca="1" si="257"/>
        <v>-852732300.04918039</v>
      </c>
      <c r="EM211" s="40" t="str">
        <f>IF(VLOOKUP(BH211,Fundamentus!A:U,3,FALSE)&lt;15,"Bom",IF(VLOOKUP(BH211,Fundamentus!A:U,3,FALSE)&gt;15,"Ruim","n/a"))</f>
        <v>Bom</v>
      </c>
      <c r="EN211" s="36" t="str">
        <f>IF(VLOOKUP(BH211,Fundamentus!A:U,4,FALSE)&lt;1,"Baixo",IF(VLOOKUP(BH211,Fundamentus!A:U,4,FALSE)&lt;1.5,"Moderado",IF(VLOOKUP(BH211,Fundamentus!A:U,4,FALSE)&gt;1.5,"Alto","n/a")))</f>
        <v>Moderado</v>
      </c>
      <c r="EO211" s="20" t="str">
        <f>IF(VLOOKUP(BH211,Fundamentus!A:U,8,FALSE)&lt;0,"Risco elevado",IF(VLOOKUP(BH211,Fundamentus!A:U,8,FALSE)&lt;1,"Saudável",IF(VLOOKUP(BH211,Fundamentus!A:U,8,FALSE)&lt;3,"Estável",IF(VLOOKUP(BH211,Fundamentus!A:U,8,FALSE)&gt;3,"Alerta","n/a"))))</f>
        <v>Estável</v>
      </c>
      <c r="EP211" s="36" t="str">
        <f t="shared" si="258"/>
        <v>Ruim</v>
      </c>
      <c r="EQ211" s="20" t="str">
        <f>IF(VLOOKUP(BH211,Fundamentus!A:U,12,FALSE)&lt;2,"Subvalorizada",IF(VLOOKUP(BH211,Fundamentus!A:U,12,FALSE)&lt;6,"Muita barata",IF(VLOOKUP(BH211,Fundamentus!A:U,12,FALSE)&lt;6,"Barata",IF(VLOOKUP(BH211,Fundamentus!A:U,12,FALSE)&lt;8,"Atrativa",IF(VLOOKUP(BH211,Fundamentus!A:U,12,FALSE)&gt;8,"Supervalorizada","n/a")))))</f>
        <v>Atrativa</v>
      </c>
      <c r="ES211" s="20" t="str">
        <f>IF(VLOOKUP(BH211,Fundamentus!A:U,17,FALSE)&lt;0.1,"Fraco retorno",IF(VLOOKUP(BH211,Fundamentus!A:U,17,FALSE)&gt;0.1,"Bom retorno","n/a"))</f>
        <v>Fraco retorno</v>
      </c>
      <c r="ET211" s="20" t="str">
        <f>IF(VLOOKUP(BH211,Fundamentus!A:U,16,FALSE)&lt;0.1,"Ineficiente",IF(VLOOKUP(BH211,Fundamentus!A:U,16,FALSE)&gt;0.1,"Eficiente","n/a"))</f>
        <v>Ineficiente</v>
      </c>
      <c r="EU211" s="41" t="str">
        <f>IF(VLOOKUP(BH211,Fundamentus!A:U,16,FALSE)&lt;0.1,"Oper. Ineficiente",IF(VLOOKUP(BH211,Fundamentus!A:U,16,FALSE)&gt;0.1,"Oper.Eficiente","n/a"))</f>
        <v>Oper. Ineficiente</v>
      </c>
      <c r="EV211" s="42">
        <f>VLOOKUP(BH211,Fundamentus!A:U,14,FALSE)</f>
        <v>-0.13880000000000001</v>
      </c>
      <c r="EW211" s="20" t="str">
        <f>IF(VLOOKUP(BH211,Fundamentus!A:U,21,FALSE)&lt;0,"Negativo",IF(VLOOKUP(BH211,Fundamentus!A:U,21,FALSE)&lt;0.05,"Fraco",IF(VLOOKUP(BH211,Fundamentus!A:U,21,FALSE)&lt;0.1,"Bom",IF(VLOOKUP(BH211,Fundamentus!A:U,21,FALSE)&gt;0.1,"Muito bom","n/a"))))</f>
        <v>Muito bom</v>
      </c>
      <c r="EY211" s="37" t="str">
        <f>IF(VLOOKUP(BH211,Fundamentus!A:U,15,FALSE)&gt;1,"Bom",IF(VLOOKUP(BH211,Fundamentus!A:U,15,FALSE)&lt;1,"Ruim","n/a"))</f>
        <v>Bom</v>
      </c>
      <c r="EZ211" s="20" t="str">
        <f>IF(VLOOKUP(BH211,Fundamentus!A:U,20,FALSE)&lt;0.5,"Baixa",IF(VLOOKUP(BH211,Fundamentus!A:U,20,FALSE)&lt;1,"Moderada",IF(VLOOKUP(BH211,Fundamentus!A:U,20,FALSE)&lt;2,"Alerta",IF(VLOOKUP(BH211,Fundamentus!A:U,20,FALSE)&gt;2,"Alta","n/a"))))</f>
        <v>Alerta</v>
      </c>
    </row>
    <row r="212" spans="1:156" s="2" customFormat="1" ht="11.25" hidden="1" x14ac:dyDescent="0.2">
      <c r="A212" s="4">
        <v>10.28</v>
      </c>
      <c r="B212" s="4">
        <v>10.54</v>
      </c>
      <c r="C212" s="4">
        <v>10.38</v>
      </c>
      <c r="D212" s="4">
        <v>10.34</v>
      </c>
      <c r="E212" s="4">
        <v>9.9600000000000009</v>
      </c>
      <c r="F212" s="4">
        <v>10.56</v>
      </c>
      <c r="G212" s="4">
        <v>9.6999999999999993</v>
      </c>
      <c r="H212" s="4">
        <v>10</v>
      </c>
      <c r="I212" s="4">
        <v>10.39</v>
      </c>
      <c r="J212" s="4">
        <v>12.65</v>
      </c>
      <c r="K212" s="4">
        <v>13.85</v>
      </c>
      <c r="L212" s="4">
        <v>12.39</v>
      </c>
      <c r="M212" s="4">
        <v>11</v>
      </c>
      <c r="N212" s="4">
        <v>10.11</v>
      </c>
      <c r="O212" s="4">
        <v>10.59</v>
      </c>
      <c r="P212" s="4">
        <v>12.5</v>
      </c>
      <c r="Q212" s="4">
        <v>15</v>
      </c>
      <c r="R212" s="4">
        <v>16</v>
      </c>
      <c r="S212" s="4">
        <v>15.3</v>
      </c>
      <c r="T212" s="4">
        <v>16.13</v>
      </c>
      <c r="U212" s="4">
        <v>15.44</v>
      </c>
      <c r="V212" s="4">
        <v>15</v>
      </c>
      <c r="W212" s="4">
        <v>15.21</v>
      </c>
      <c r="X212" s="4">
        <v>14.95</v>
      </c>
      <c r="Y212" s="4">
        <v>12.22</v>
      </c>
      <c r="Z212" s="4">
        <v>14.64</v>
      </c>
      <c r="AA212" s="4">
        <v>14.17</v>
      </c>
      <c r="AB212" s="4">
        <v>14.79</v>
      </c>
      <c r="AC212" s="4">
        <v>14.2</v>
      </c>
      <c r="AD212" s="4">
        <v>13.02</v>
      </c>
      <c r="AE212" s="4">
        <v>12</v>
      </c>
      <c r="AF212" s="4">
        <v>10.95</v>
      </c>
      <c r="AG212" s="4">
        <v>10.26</v>
      </c>
      <c r="AH212" s="4">
        <v>10.130000000000001</v>
      </c>
      <c r="AI212" s="4">
        <v>8.8000000000000007</v>
      </c>
      <c r="AJ212" s="4">
        <v>7.27</v>
      </c>
      <c r="AK212" s="4">
        <v>9.2200000000000006</v>
      </c>
      <c r="AL212" s="4">
        <v>10.8</v>
      </c>
      <c r="AM212" s="4">
        <v>12.09</v>
      </c>
      <c r="AN212" s="4">
        <v>11.79</v>
      </c>
      <c r="AO212" s="4">
        <v>10.19</v>
      </c>
      <c r="AP212" s="4">
        <v>10.3</v>
      </c>
      <c r="AQ212" s="4">
        <v>11.36</v>
      </c>
      <c r="AR212" s="4">
        <v>11.6</v>
      </c>
      <c r="AS212" s="4">
        <v>12.59</v>
      </c>
      <c r="AT212" s="4">
        <v>12.52</v>
      </c>
      <c r="AU212" s="4">
        <v>12.595000000000001</v>
      </c>
      <c r="AV212" s="4">
        <v>7.62</v>
      </c>
      <c r="AW212" s="4">
        <v>7.5</v>
      </c>
      <c r="AX212" s="4">
        <v>5.16</v>
      </c>
      <c r="AY212" s="12">
        <v>5.59</v>
      </c>
      <c r="AZ212" s="12">
        <v>6.32</v>
      </c>
      <c r="BA212" s="12">
        <v>5.84</v>
      </c>
      <c r="BB212" s="18">
        <v>5.55</v>
      </c>
      <c r="BC212" s="63">
        <v>5.97</v>
      </c>
      <c r="BD212" s="63">
        <v>5.83</v>
      </c>
      <c r="BE212" s="63">
        <v>6.09</v>
      </c>
      <c r="BF212" s="63">
        <v>5.41</v>
      </c>
      <c r="BG212" s="91" cm="1">
        <f t="array" aca="1" ref="BG212" ca="1">_FV(EE212,"Preço")</f>
        <v>4.9800000000000004</v>
      </c>
      <c r="BH212" s="93" t="s">
        <v>209</v>
      </c>
      <c r="BI212" s="32" cm="1">
        <f t="array" aca="1" ref="BI212" ca="1">_FV(EE212,"Beta")</f>
        <v>0.89970000000000006</v>
      </c>
      <c r="BJ212" s="96" cm="1">
        <f t="array" aca="1" ref="BJ212" ca="1">_FV(EE212,"Variação (%)",TRUE)</f>
        <v>6.0609999999999995E-3</v>
      </c>
      <c r="BK212" s="49"/>
      <c r="BL212" s="49"/>
      <c r="BN212" s="32"/>
      <c r="BO212" s="20" cm="1">
        <f t="array" aca="1" ref="BO212" ca="1">_FV(EE212,"Baixo")</f>
        <v>4.8099999999999996</v>
      </c>
      <c r="BP212" s="20" cm="1">
        <f t="array" aca="1" ref="BP212" ca="1">_FV(EE212,"Alto")</f>
        <v>5.01</v>
      </c>
      <c r="BQ212" s="32"/>
      <c r="BR212" s="74" t="e">
        <f ca="1">SQRT(22.5*(BG212/VLOOKUP(BH212,Fundamentus!A:U,3,FALSE))*(BG212/VLOOKUP(BH212,Fundamentus!A:U,4,FALSE)))</f>
        <v>#NUM!</v>
      </c>
      <c r="BT212" s="73">
        <f t="shared" ca="1" si="235"/>
        <v>-7.9482439926062798E-2</v>
      </c>
      <c r="BU212" s="36">
        <f t="shared" si="236"/>
        <v>-0.40758754863813229</v>
      </c>
      <c r="BV212" s="8"/>
      <c r="BW212" s="72">
        <f t="shared" si="237"/>
        <v>5.16</v>
      </c>
      <c r="BX212" s="72">
        <f t="shared" si="238"/>
        <v>10.90784482758621</v>
      </c>
      <c r="BY212" s="72">
        <f t="shared" si="239"/>
        <v>16.13</v>
      </c>
      <c r="BZ212" s="17"/>
      <c r="CA212" s="17"/>
      <c r="CB212" s="43">
        <f t="shared" si="240"/>
        <v>4.971316664549402</v>
      </c>
      <c r="CC212" s="18">
        <f t="shared" si="241"/>
        <v>5.4846391752578256</v>
      </c>
      <c r="CD212" s="43">
        <f t="shared" si="242"/>
        <v>5.9979616859662492</v>
      </c>
      <c r="CE212" s="98">
        <f t="shared" ca="1" si="243"/>
        <v>-0.98308405482039984</v>
      </c>
      <c r="CF212" s="17"/>
      <c r="CG212" s="20">
        <f t="shared" si="244"/>
        <v>-9.2999999999999972</v>
      </c>
      <c r="CH212" s="20">
        <f t="shared" si="245"/>
        <v>-2.0699999999999985</v>
      </c>
      <c r="CI212" s="20">
        <f t="shared" si="246"/>
        <v>1.6700000000000017</v>
      </c>
      <c r="CJ212" s="49">
        <f t="shared" si="247"/>
        <v>8.9</v>
      </c>
      <c r="CK212" s="20">
        <f t="shared" si="248"/>
        <v>12.64</v>
      </c>
      <c r="CL212" s="20">
        <f t="shared" si="249"/>
        <v>19.869999999999997</v>
      </c>
      <c r="CM212" s="20">
        <f t="shared" si="250"/>
        <v>23.61</v>
      </c>
      <c r="CN212" s="2" cm="1">
        <f t="array" aca="1" ref="CN212" ca="1">MAX(_xlfn._xlws.FILTER(CG212:CM212,CG212:CM212&lt;BG212))</f>
        <v>1.6700000000000017</v>
      </c>
      <c r="CO212" s="2" cm="1">
        <f t="array" aca="1" ref="CO212" ca="1">MIN(_xlfn._xlws.FILTER($CG212:$CM212,$CG212:$CM212&gt;BG212))</f>
        <v>8.9</v>
      </c>
      <c r="CP212" s="19">
        <f t="shared" ca="1" si="259"/>
        <v>4.3293413173652642</v>
      </c>
      <c r="CQ212" s="23">
        <f t="shared" ca="1" si="260"/>
        <v>-2.1646706586826321</v>
      </c>
      <c r="CR212" s="23">
        <f t="shared" ca="1" si="261"/>
        <v>-1.443113772455088</v>
      </c>
      <c r="CS212" s="23">
        <f t="shared" ca="1" si="262"/>
        <v>-0.86586826347305279</v>
      </c>
      <c r="CT212" s="23">
        <f t="shared" ca="1" si="263"/>
        <v>-0.48103792415169599</v>
      </c>
      <c r="CU212" s="23">
        <f t="shared" ca="1" si="264"/>
        <v>-0.25466713631560378</v>
      </c>
      <c r="CV212" s="23">
        <f t="shared" ca="1" si="265"/>
        <v>-0.13119216113228074</v>
      </c>
      <c r="CW212" s="23">
        <f t="shared" ca="1" si="266"/>
        <v>-6.6605251036388674E-2</v>
      </c>
      <c r="CX212" s="24">
        <f t="shared" ca="1" si="267"/>
        <v>6.6605251036388674E-2</v>
      </c>
      <c r="CY212" s="24">
        <f t="shared" ca="1" si="268"/>
        <v>0.13119216113228074</v>
      </c>
      <c r="CZ212" s="24">
        <f t="shared" ca="1" si="269"/>
        <v>0.25466713631560378</v>
      </c>
      <c r="DA212" s="24">
        <f t="shared" ca="1" si="270"/>
        <v>0.48103792415169599</v>
      </c>
      <c r="DB212" s="24">
        <f t="shared" ca="1" si="271"/>
        <v>0.86586826347305279</v>
      </c>
      <c r="DC212" s="24">
        <f t="shared" ca="1" si="272"/>
        <v>1.443113772455088</v>
      </c>
      <c r="DD212" s="24">
        <f t="shared" ca="1" si="273"/>
        <v>2.1646706586826321</v>
      </c>
      <c r="DF212" s="19" cm="1">
        <f t="array" aca="1" ref="DF212" ca="1">MAX(_xlfn._xlws.FILTER(CQ212:DD212,CQ212:DD212&lt;BJ212))</f>
        <v>-6.6605251036388674E-2</v>
      </c>
      <c r="DG212" s="19" cm="1">
        <f t="array" aca="1" ref="DG212" ca="1">MIN(_xlfn._xlws.FILTER(CQ212:DD212,CQ212:DD212&gt;BJ212))</f>
        <v>6.6605251036388674E-2</v>
      </c>
      <c r="DH212" s="2" cm="1">
        <f t="array" aca="1" ref="DH212" ca="1">_FV(EE212,"Fechamento anterior",TRUE)</f>
        <v>4.95</v>
      </c>
      <c r="DI212" s="36">
        <f t="shared" ca="1" si="251"/>
        <v>0.54549645835952931</v>
      </c>
      <c r="DJ212" s="18">
        <f t="shared" ca="1" si="274"/>
        <v>4.6203040073698762</v>
      </c>
      <c r="DK212" s="18">
        <f t="shared" ca="1" si="275"/>
        <v>5.2796959926301241</v>
      </c>
      <c r="DL212" s="9"/>
      <c r="DM212" s="9"/>
      <c r="DN212" s="9"/>
      <c r="DO212" s="9"/>
      <c r="DP212" s="79">
        <v>1.701205009679585E-2</v>
      </c>
      <c r="DQ212" s="79">
        <v>3.508735332464144E-2</v>
      </c>
      <c r="DR212" s="79">
        <v>3.2523036949756765E-2</v>
      </c>
      <c r="DS212" s="79">
        <f t="shared" ca="1" si="252"/>
        <v>0.13321050207277735</v>
      </c>
      <c r="DT212" s="47"/>
      <c r="DU212" s="43">
        <f t="shared" si="253"/>
        <v>0.25666125535421186</v>
      </c>
      <c r="DV212" s="83">
        <f t="shared" ca="1" si="254"/>
        <v>1.3258000000000001</v>
      </c>
      <c r="DW212" s="83">
        <f t="shared" ca="1" si="255"/>
        <v>0.29360000000000008</v>
      </c>
      <c r="DX212" s="83">
        <f t="shared" ca="1" si="234"/>
        <v>1.0322</v>
      </c>
      <c r="DY212" s="67"/>
      <c r="DZ212" s="67"/>
      <c r="EA212" s="85"/>
      <c r="EB212" s="44">
        <v>23300</v>
      </c>
      <c r="EC212" s="44" cm="1">
        <f t="array" aca="1" ref="EC212" ca="1">_FV(EE212,"Volume")</f>
        <v>38300</v>
      </c>
      <c r="EE212" s="2" t="e" vm="214">
        <v>#VALUE!</v>
      </c>
      <c r="EG212" s="10" cm="1">
        <f t="array" aca="1" ref="EG212" ca="1">_FV(EE212,"Ações em circulação",TRUE)</f>
        <v>152359500</v>
      </c>
      <c r="EH212" s="21">
        <f>VLOOKUP(BH212,Fundamentus!A:U,5,FALSE)</f>
        <v>0.69399999999999995</v>
      </c>
      <c r="EI212" s="2">
        <f t="shared" ca="1" si="256"/>
        <v>1093300158.5014412</v>
      </c>
      <c r="EJ212" s="20">
        <v>-58791228.101585016</v>
      </c>
      <c r="EK212" s="20">
        <f t="shared" ca="1" si="257"/>
        <v>-54118357.845821343</v>
      </c>
      <c r="EM212" s="40" t="str">
        <f>IF(VLOOKUP(BH212,Fundamentus!A:U,3,FALSE)&lt;15,"Bom",IF(VLOOKUP(BH212,Fundamentus!A:U,3,FALSE)&gt;15,"Ruim","n/a"))</f>
        <v>Bom</v>
      </c>
      <c r="EN212" s="36" t="str">
        <f>IF(VLOOKUP(BH212,Fundamentus!A:U,4,FALSE)&lt;1,"Baixo",IF(VLOOKUP(BH212,Fundamentus!A:U,4,FALSE)&lt;1.5,"Moderado",IF(VLOOKUP(BH212,Fundamentus!A:U,4,FALSE)&gt;1.5,"Alto","n/a")))</f>
        <v>Baixo</v>
      </c>
      <c r="EO212" s="20" t="str">
        <f>IF(VLOOKUP(BH212,Fundamentus!A:U,8,FALSE)&lt;0,"Risco elevado",IF(VLOOKUP(BH212,Fundamentus!A:U,8,FALSE)&lt;1,"Saudável",IF(VLOOKUP(BH212,Fundamentus!A:U,8,FALSE)&lt;3,"Estável",IF(VLOOKUP(BH212,Fundamentus!A:U,8,FALSE)&gt;3,"Alerta","n/a"))))</f>
        <v>Risco elevado</v>
      </c>
      <c r="EP212" s="36" t="str">
        <f t="shared" si="258"/>
        <v>Ruim</v>
      </c>
      <c r="EQ212" s="20" t="str">
        <f>IF(VLOOKUP(BH212,Fundamentus!A:U,12,FALSE)&lt;2,"Subvalorizada",IF(VLOOKUP(BH212,Fundamentus!A:U,12,FALSE)&lt;6,"Muita barata",IF(VLOOKUP(BH212,Fundamentus!A:U,12,FALSE)&lt;6,"Barata",IF(VLOOKUP(BH212,Fundamentus!A:U,12,FALSE)&lt;8,"Atrativa",IF(VLOOKUP(BH212,Fundamentus!A:U,12,FALSE)&gt;8,"Supervalorizada","n/a")))))</f>
        <v>Atrativa</v>
      </c>
      <c r="ES212" s="20" t="str">
        <f>IF(VLOOKUP(BH212,Fundamentus!A:U,17,FALSE)&lt;0.1,"Fraco retorno",IF(VLOOKUP(BH212,Fundamentus!A:U,17,FALSE)&gt;0.1,"Bom retorno","n/a"))</f>
        <v>Fraco retorno</v>
      </c>
      <c r="ET212" s="20" t="str">
        <f>IF(VLOOKUP(BH212,Fundamentus!A:U,16,FALSE)&lt;0.1,"Ineficiente",IF(VLOOKUP(BH212,Fundamentus!A:U,16,FALSE)&gt;0.1,"Eficiente","n/a"))</f>
        <v>Ineficiente</v>
      </c>
      <c r="EU212" s="41" t="str">
        <f>IF(VLOOKUP(BH212,Fundamentus!A:U,16,FALSE)&lt;0.1,"Oper. Ineficiente",IF(VLOOKUP(BH212,Fundamentus!A:U,16,FALSE)&gt;0.1,"Oper.Eficiente","n/a"))</f>
        <v>Oper. Ineficiente</v>
      </c>
      <c r="EV212" s="42">
        <f>VLOOKUP(BH212,Fundamentus!A:U,14,FALSE)</f>
        <v>-4.9500000000000002E-2</v>
      </c>
      <c r="EW212" s="20" t="str">
        <f>IF(VLOOKUP(BH212,Fundamentus!A:U,21,FALSE)&lt;0,"Negativo",IF(VLOOKUP(BH212,Fundamentus!A:U,21,FALSE)&lt;0.05,"Fraco",IF(VLOOKUP(BH212,Fundamentus!A:U,21,FALSE)&lt;0.1,"Bom",IF(VLOOKUP(BH212,Fundamentus!A:U,21,FALSE)&gt;0.1,"Muito bom","n/a"))))</f>
        <v>Bom</v>
      </c>
      <c r="EY212" s="37" t="str">
        <f>IF(VLOOKUP(BH212,Fundamentus!A:U,15,FALSE)&gt;1,"Bom",IF(VLOOKUP(BH212,Fundamentus!A:U,15,FALSE)&lt;1,"Ruim","n/a"))</f>
        <v>Ruim</v>
      </c>
      <c r="EZ212" s="20" t="str">
        <f>IF(VLOOKUP(BH212,Fundamentus!A:U,20,FALSE)&lt;0.5,"Baixa",IF(VLOOKUP(BH212,Fundamentus!A:U,20,FALSE)&lt;1,"Moderada",IF(VLOOKUP(BH212,Fundamentus!A:U,20,FALSE)&lt;2,"Alerta",IF(VLOOKUP(BH212,Fundamentus!A:U,20,FALSE)&gt;2,"Alta","n/a"))))</f>
        <v>Moderada</v>
      </c>
    </row>
    <row r="213" spans="1:156" s="2" customFormat="1" ht="11.25" hidden="1" x14ac:dyDescent="0.2">
      <c r="A213" s="4">
        <v>2.87</v>
      </c>
      <c r="B213" s="4">
        <v>2.72</v>
      </c>
      <c r="C213" s="4">
        <v>2.56</v>
      </c>
      <c r="D213" s="4">
        <v>2.4300000000000002</v>
      </c>
      <c r="E213" s="4">
        <v>2.3199999999999998</v>
      </c>
      <c r="F213" s="4">
        <v>2.2200000000000002</v>
      </c>
      <c r="G213" s="4">
        <v>2.14</v>
      </c>
      <c r="H213" s="4">
        <v>2.06</v>
      </c>
      <c r="I213" s="4">
        <v>2.06</v>
      </c>
      <c r="J213" s="4">
        <v>2.2599999999999998</v>
      </c>
      <c r="K213" s="4">
        <v>2.33</v>
      </c>
      <c r="L213" s="4">
        <v>2.25</v>
      </c>
      <c r="M213" s="4">
        <v>2.2999999999999998</v>
      </c>
      <c r="N213" s="4">
        <v>2.2000000000000002</v>
      </c>
      <c r="O213" s="4">
        <v>2.33</v>
      </c>
      <c r="P213" s="4">
        <v>2.11</v>
      </c>
      <c r="Q213" s="4">
        <v>2.16</v>
      </c>
      <c r="R213" s="4">
        <v>2.0699999999999998</v>
      </c>
      <c r="S213" s="4">
        <v>2.0099999999999998</v>
      </c>
      <c r="T213" s="4">
        <v>2</v>
      </c>
      <c r="U213" s="4">
        <v>1.89</v>
      </c>
      <c r="V213" s="4">
        <v>1.9</v>
      </c>
      <c r="W213" s="4">
        <v>1.91</v>
      </c>
      <c r="X213" s="4">
        <v>1.86</v>
      </c>
      <c r="Y213" s="4">
        <v>1.87</v>
      </c>
      <c r="Z213" s="4">
        <v>1.81</v>
      </c>
      <c r="AA213" s="4">
        <v>1.8</v>
      </c>
      <c r="AB213" s="4">
        <v>1.82</v>
      </c>
      <c r="AC213" s="4">
        <v>1.8</v>
      </c>
      <c r="AD213" s="4">
        <v>1.76</v>
      </c>
      <c r="AE213" s="4">
        <v>1.6</v>
      </c>
      <c r="AF213" s="4">
        <v>1.53</v>
      </c>
      <c r="AG213" s="4">
        <v>1.49</v>
      </c>
      <c r="AH213" s="4">
        <v>1.4</v>
      </c>
      <c r="AI213" s="4">
        <v>1.38</v>
      </c>
      <c r="AJ213" s="4">
        <v>1.37</v>
      </c>
      <c r="AK213" s="4">
        <v>1.35</v>
      </c>
      <c r="AL213" s="4">
        <v>1.37</v>
      </c>
      <c r="AM213" s="4">
        <v>1.5</v>
      </c>
      <c r="AN213" s="4">
        <v>1.6</v>
      </c>
      <c r="AO213" s="4">
        <v>1.47</v>
      </c>
      <c r="AP213" s="4">
        <v>1.59</v>
      </c>
      <c r="AQ213" s="4">
        <v>1.62</v>
      </c>
      <c r="AR213" s="4">
        <v>1.46</v>
      </c>
      <c r="AS213" s="4">
        <v>1.52</v>
      </c>
      <c r="AT213" s="4">
        <v>1.71</v>
      </c>
      <c r="AU213" s="4">
        <v>1.73</v>
      </c>
      <c r="AV213" s="4">
        <v>1.82</v>
      </c>
      <c r="AW213" s="4">
        <v>1.8</v>
      </c>
      <c r="AX213" s="4">
        <v>1.7</v>
      </c>
      <c r="AY213" s="12">
        <v>1.99</v>
      </c>
      <c r="AZ213" s="12">
        <v>2.14</v>
      </c>
      <c r="BA213" s="12">
        <v>2.36</v>
      </c>
      <c r="BB213" s="18">
        <v>2.38</v>
      </c>
      <c r="BC213" s="63">
        <v>2.34</v>
      </c>
      <c r="BD213" s="63">
        <v>2.46</v>
      </c>
      <c r="BE213" s="63">
        <v>2.5499999999999998</v>
      </c>
      <c r="BF213" s="63">
        <v>2.78</v>
      </c>
      <c r="BG213" s="91" cm="1">
        <f t="array" aca="1" ref="BG213" ca="1">_FV(EE213,"Preço")</f>
        <v>2.79</v>
      </c>
      <c r="BH213" s="93" t="s">
        <v>210</v>
      </c>
      <c r="BI213" s="32" cm="1">
        <f t="array" aca="1" ref="BI213" ca="1">_FV(EE213,"Beta")</f>
        <v>2.0438999999999998</v>
      </c>
      <c r="BJ213" s="96" cm="1">
        <f t="array" aca="1" ref="BJ213" ca="1">_FV(EE213,"Variação (%)",TRUE)</f>
        <v>-8.2236999999999991E-2</v>
      </c>
      <c r="BK213" s="49"/>
      <c r="BL213" s="49"/>
      <c r="BN213" s="32"/>
      <c r="BO213" s="20" cm="1">
        <f t="array" aca="1" ref="BO213" ca="1">_FV(EE213,"Baixo")</f>
        <v>2.79</v>
      </c>
      <c r="BP213" s="20" cm="1">
        <f t="array" aca="1" ref="BP213" ca="1">_FV(EE213,"Alto")</f>
        <v>2.99</v>
      </c>
      <c r="BQ213" s="32"/>
      <c r="BR213" s="74">
        <f ca="1">SQRT(22.5*(BG213/VLOOKUP(BH213,Fundamentus!A:U,3,FALSE))*(BG213/VLOOKUP(BH213,Fundamentus!A:U,4,FALSE)))</f>
        <v>10.38970244016013</v>
      </c>
      <c r="BT213" s="73">
        <f t="shared" ca="1" si="235"/>
        <v>3.5971223021583568E-3</v>
      </c>
      <c r="BU213" s="36">
        <f t="shared" si="236"/>
        <v>-0.11149825783972135</v>
      </c>
      <c r="BV213" s="8"/>
      <c r="BW213" s="72">
        <f t="shared" si="237"/>
        <v>1.35</v>
      </c>
      <c r="BX213" s="72">
        <f t="shared" si="238"/>
        <v>1.9625862068965507</v>
      </c>
      <c r="BY213" s="72">
        <f t="shared" si="239"/>
        <v>2.87</v>
      </c>
      <c r="BZ213" s="17"/>
      <c r="CA213" s="17"/>
      <c r="CB213" s="43">
        <f t="shared" si="240"/>
        <v>2.551396148674181</v>
      </c>
      <c r="CC213" s="18">
        <f t="shared" si="241"/>
        <v>2.8736925960638473</v>
      </c>
      <c r="CD213" s="43">
        <f t="shared" si="242"/>
        <v>3.1959890434535136</v>
      </c>
      <c r="CE213" s="98">
        <f t="shared" ca="1" si="243"/>
        <v>-0.25967582559996494</v>
      </c>
      <c r="CF213" s="17"/>
      <c r="CG213" s="20">
        <f t="shared" si="244"/>
        <v>0.27666666666666684</v>
      </c>
      <c r="CH213" s="20">
        <f t="shared" si="245"/>
        <v>0.81333333333333346</v>
      </c>
      <c r="CI213" s="20">
        <f t="shared" si="246"/>
        <v>1.7966666666666669</v>
      </c>
      <c r="CJ213" s="49">
        <f t="shared" si="247"/>
        <v>2.3333333333333335</v>
      </c>
      <c r="CK213" s="20">
        <f t="shared" si="248"/>
        <v>3.3166666666666669</v>
      </c>
      <c r="CL213" s="20">
        <f t="shared" si="249"/>
        <v>3.8533333333333335</v>
      </c>
      <c r="CM213" s="20">
        <f t="shared" si="250"/>
        <v>4.8366666666666669</v>
      </c>
      <c r="CN213" s="2" cm="1">
        <f t="array" aca="1" ref="CN213" ca="1">MAX(_xlfn._xlws.FILTER(CG213:CM213,CG213:CM213&lt;BG213))</f>
        <v>2.3333333333333335</v>
      </c>
      <c r="CO213" s="2" cm="1">
        <f t="array" aca="1" ref="CO213" ca="1">MIN(_xlfn._xlws.FILTER($CG213:$CM213,$CG213:$CM213&gt;BG213))</f>
        <v>3.3166666666666669</v>
      </c>
      <c r="CP213" s="19">
        <f t="shared" ca="1" si="259"/>
        <v>0.42142857142857149</v>
      </c>
      <c r="CQ213" s="23">
        <f t="shared" ca="1" si="260"/>
        <v>-0.21071428571428574</v>
      </c>
      <c r="CR213" s="23">
        <f t="shared" ca="1" si="261"/>
        <v>-0.1404761904761905</v>
      </c>
      <c r="CS213" s="23">
        <f t="shared" ca="1" si="262"/>
        <v>-8.4285714285714297E-2</v>
      </c>
      <c r="CT213" s="23">
        <f t="shared" ca="1" si="263"/>
        <v>-4.6825396825396833E-2</v>
      </c>
      <c r="CU213" s="23">
        <f t="shared" ca="1" si="264"/>
        <v>-2.4789915966386557E-2</v>
      </c>
      <c r="CV213" s="23">
        <f t="shared" ca="1" si="265"/>
        <v>-1.2770562770562773E-2</v>
      </c>
      <c r="CW213" s="23">
        <f t="shared" ca="1" si="266"/>
        <v>-6.4835164835164846E-3</v>
      </c>
      <c r="CX213" s="24">
        <f t="shared" ca="1" si="267"/>
        <v>6.4835164835164846E-3</v>
      </c>
      <c r="CY213" s="24">
        <f t="shared" ca="1" si="268"/>
        <v>1.2770562770562773E-2</v>
      </c>
      <c r="CZ213" s="24">
        <f t="shared" ca="1" si="269"/>
        <v>2.4789915966386557E-2</v>
      </c>
      <c r="DA213" s="24">
        <f t="shared" ca="1" si="270"/>
        <v>4.6825396825396833E-2</v>
      </c>
      <c r="DB213" s="24">
        <f t="shared" ca="1" si="271"/>
        <v>8.4285714285714297E-2</v>
      </c>
      <c r="DC213" s="24">
        <f t="shared" ca="1" si="272"/>
        <v>0.1404761904761905</v>
      </c>
      <c r="DD213" s="24">
        <f t="shared" ca="1" si="273"/>
        <v>0.21071428571428574</v>
      </c>
      <c r="DF213" s="19" cm="1">
        <f t="array" aca="1" ref="DF213" ca="1">MAX(_xlfn._xlws.FILTER(CQ213:DD213,CQ213:DD213&lt;BJ213))</f>
        <v>-8.4285714285714297E-2</v>
      </c>
      <c r="DG213" s="19" cm="1">
        <f t="array" aca="1" ref="DG213" ca="1">MIN(_xlfn._xlws.FILTER(CQ213:DD213,CQ213:DD213&gt;BJ213))</f>
        <v>-4.6825396825396833E-2</v>
      </c>
      <c r="DH213" s="2" cm="1">
        <f t="array" aca="1" ref="DH213" ca="1">_FV(EE213,"Fechamento anterior",TRUE)</f>
        <v>3.04</v>
      </c>
      <c r="DI213" s="36">
        <f t="shared" ca="1" si="251"/>
        <v>5.4694469223905792E-2</v>
      </c>
      <c r="DJ213" s="18">
        <f t="shared" ca="1" si="274"/>
        <v>2.7837714285714288</v>
      </c>
      <c r="DK213" s="18">
        <f t="shared" ca="1" si="275"/>
        <v>2.8976507936507936</v>
      </c>
      <c r="DL213" s="9"/>
      <c r="DM213" s="9"/>
      <c r="DN213" s="9"/>
      <c r="DO213" s="9"/>
      <c r="DP213" s="79">
        <v>7.7829728268000407E-3</v>
      </c>
      <c r="DQ213" s="79">
        <v>1.2228817671446063E-2</v>
      </c>
      <c r="DR213" s="79">
        <v>1.3193012910925464E-2</v>
      </c>
      <c r="DS213" s="79">
        <f t="shared" ca="1" si="252"/>
        <v>3.7460317460317465E-2</v>
      </c>
      <c r="DT213" s="47"/>
      <c r="DU213" s="43">
        <f t="shared" si="253"/>
        <v>0.16114822369483317</v>
      </c>
      <c r="DV213" s="83">
        <f t="shared" ca="1" si="254"/>
        <v>2.4699999999999998</v>
      </c>
      <c r="DW213" s="83">
        <f t="shared" ca="1" si="255"/>
        <v>10.267599999999998</v>
      </c>
      <c r="DX213" s="83">
        <f t="shared" ca="1" si="234"/>
        <v>-7.7975999999999983</v>
      </c>
      <c r="DY213" s="67"/>
      <c r="DZ213" s="67"/>
      <c r="EA213" s="85"/>
      <c r="EB213" s="44">
        <v>1491100</v>
      </c>
      <c r="EC213" s="44" cm="1">
        <f t="array" aca="1" ref="EC213" ca="1">_FV(EE213,"Volume")</f>
        <v>2028500</v>
      </c>
      <c r="EE213" s="2" t="e" vm="215">
        <v>#VALUE!</v>
      </c>
      <c r="EG213" s="10" cm="1">
        <f t="array" aca="1" ref="EG213" ca="1">_FV(EE213,"Ações em circulação",TRUE)</f>
        <v>133851100</v>
      </c>
      <c r="EH213" s="21">
        <f>VLOOKUP(BH213,Fundamentus!A:U,5,FALSE)</f>
        <v>0.29099999999999998</v>
      </c>
      <c r="EI213" s="2">
        <f t="shared" ca="1" si="256"/>
        <v>1283314670.1030929</v>
      </c>
      <c r="EJ213" s="20">
        <v>166105075.37525773</v>
      </c>
      <c r="EK213" s="20">
        <f t="shared" ca="1" si="257"/>
        <v>166702575.64639175</v>
      </c>
      <c r="EM213" s="40" t="str">
        <f>IF(VLOOKUP(BH213,Fundamentus!A:U,3,FALSE)&lt;15,"Bom",IF(VLOOKUP(BH213,Fundamentus!A:U,3,FALSE)&gt;15,"Ruim","n/a"))</f>
        <v>Bom</v>
      </c>
      <c r="EN213" s="36" t="str">
        <f>IF(VLOOKUP(BH213,Fundamentus!A:U,4,FALSE)&lt;1,"Baixo",IF(VLOOKUP(BH213,Fundamentus!A:U,4,FALSE)&lt;1.5,"Moderado",IF(VLOOKUP(BH213,Fundamentus!A:U,4,FALSE)&gt;1.5,"Alto","n/a")))</f>
        <v>Baixo</v>
      </c>
      <c r="EO213" s="20" t="str">
        <f>IF(VLOOKUP(BH213,Fundamentus!A:U,8,FALSE)&lt;0,"Risco elevado",IF(VLOOKUP(BH213,Fundamentus!A:U,8,FALSE)&lt;1,"Saudável",IF(VLOOKUP(BH213,Fundamentus!A:U,8,FALSE)&lt;3,"Estável",IF(VLOOKUP(BH213,Fundamentus!A:U,8,FALSE)&gt;3,"Alerta","n/a"))))</f>
        <v>Saudável</v>
      </c>
      <c r="EP213" s="36" t="str">
        <f t="shared" si="258"/>
        <v>Ruim</v>
      </c>
      <c r="EQ213" s="20" t="str">
        <f>IF(VLOOKUP(BH213,Fundamentus!A:U,12,FALSE)&lt;2,"Subvalorizada",IF(VLOOKUP(BH213,Fundamentus!A:U,12,FALSE)&lt;6,"Muita barata",IF(VLOOKUP(BH213,Fundamentus!A:U,12,FALSE)&lt;6,"Barata",IF(VLOOKUP(BH213,Fundamentus!A:U,12,FALSE)&lt;8,"Atrativa",IF(VLOOKUP(BH213,Fundamentus!A:U,12,FALSE)&gt;8,"Supervalorizada","n/a")))))</f>
        <v>Atrativa</v>
      </c>
      <c r="ES213" s="20" t="str">
        <f>IF(VLOOKUP(BH213,Fundamentus!A:U,17,FALSE)&lt;0.1,"Fraco retorno",IF(VLOOKUP(BH213,Fundamentus!A:U,17,FALSE)&gt;0.1,"Bom retorno","n/a"))</f>
        <v>Fraco retorno</v>
      </c>
      <c r="ET213" s="20" t="str">
        <f>IF(VLOOKUP(BH213,Fundamentus!A:U,16,FALSE)&lt;0.1,"Ineficiente",IF(VLOOKUP(BH213,Fundamentus!A:U,16,FALSE)&gt;0.1,"Eficiente","n/a"))</f>
        <v>Ineficiente</v>
      </c>
      <c r="EU213" s="41" t="str">
        <f>IF(VLOOKUP(BH213,Fundamentus!A:U,16,FALSE)&lt;0.1,"Oper. Ineficiente",IF(VLOOKUP(BH213,Fundamentus!A:U,16,FALSE)&gt;0.1,"Oper.Eficiente","n/a"))</f>
        <v>Oper. Ineficiente</v>
      </c>
      <c r="EV213" s="42">
        <f>VLOOKUP(BH213,Fundamentus!A:U,14,FALSE)</f>
        <v>0.12989999999999999</v>
      </c>
      <c r="EW213" s="20" t="str">
        <f>IF(VLOOKUP(BH213,Fundamentus!A:U,21,FALSE)&lt;0,"Negativo",IF(VLOOKUP(BH213,Fundamentus!A:U,21,FALSE)&lt;0.05,"Fraco",IF(VLOOKUP(BH213,Fundamentus!A:U,21,FALSE)&lt;0.1,"Bom",IF(VLOOKUP(BH213,Fundamentus!A:U,21,FALSE)&gt;0.1,"Muito bom","n/a"))))</f>
        <v>Bom</v>
      </c>
      <c r="EY213" s="37" t="str">
        <f>IF(VLOOKUP(BH213,Fundamentus!A:U,15,FALSE)&gt;1,"Bom",IF(VLOOKUP(BH213,Fundamentus!A:U,15,FALSE)&lt;1,"Ruim","n/a"))</f>
        <v>Bom</v>
      </c>
      <c r="EZ213" s="20" t="str">
        <f>IF(VLOOKUP(BH213,Fundamentus!A:U,20,FALSE)&lt;0.5,"Baixa",IF(VLOOKUP(BH213,Fundamentus!A:U,20,FALSE)&lt;1,"Moderada",IF(VLOOKUP(BH213,Fundamentus!A:U,20,FALSE)&lt;2,"Alerta",IF(VLOOKUP(BH213,Fundamentus!A:U,20,FALSE)&gt;2,"Alta","n/a"))))</f>
        <v>Alerta</v>
      </c>
    </row>
    <row r="214" spans="1:156" s="2" customFormat="1" ht="11.25" hidden="1" x14ac:dyDescent="0.2">
      <c r="A214" s="4">
        <v>29.91</v>
      </c>
      <c r="B214" s="4">
        <v>30.67</v>
      </c>
      <c r="C214" s="4">
        <v>32.47</v>
      </c>
      <c r="D214" s="4">
        <v>29.82</v>
      </c>
      <c r="E214" s="4">
        <v>30</v>
      </c>
      <c r="F214" s="4">
        <v>29.8</v>
      </c>
      <c r="G214" s="4">
        <v>29.51</v>
      </c>
      <c r="H214" s="4">
        <v>29.49</v>
      </c>
      <c r="I214" s="4">
        <v>29.41</v>
      </c>
      <c r="J214" s="4">
        <v>29.32</v>
      </c>
      <c r="K214" s="4">
        <v>29.4</v>
      </c>
      <c r="L214" s="4">
        <v>30.25</v>
      </c>
      <c r="M214" s="4">
        <v>29.01</v>
      </c>
      <c r="N214" s="4">
        <v>29.19</v>
      </c>
      <c r="O214" s="4">
        <v>29.3</v>
      </c>
      <c r="P214" s="4">
        <v>28.79</v>
      </c>
      <c r="Q214" s="4">
        <v>28.51</v>
      </c>
      <c r="R214" s="4">
        <v>28.98</v>
      </c>
      <c r="S214" s="4">
        <v>28.69</v>
      </c>
      <c r="T214" s="4">
        <v>29.19</v>
      </c>
      <c r="U214" s="4">
        <v>28.11</v>
      </c>
      <c r="V214" s="4">
        <v>26.61</v>
      </c>
      <c r="W214" s="4">
        <v>26.3</v>
      </c>
      <c r="X214" s="4">
        <v>25.5</v>
      </c>
      <c r="Y214" s="4">
        <v>25.12</v>
      </c>
      <c r="Z214" s="4">
        <v>25.09</v>
      </c>
      <c r="AA214" s="4">
        <v>24.75</v>
      </c>
      <c r="AB214" s="4">
        <v>24.6</v>
      </c>
      <c r="AC214" s="4">
        <v>24.5</v>
      </c>
      <c r="AD214" s="4">
        <v>22.57</v>
      </c>
      <c r="AE214" s="4">
        <v>22.13</v>
      </c>
      <c r="AF214" s="4">
        <v>22.25</v>
      </c>
      <c r="AG214" s="4">
        <v>21.45</v>
      </c>
      <c r="AH214" s="4">
        <v>20.94</v>
      </c>
      <c r="AI214" s="4">
        <v>20.85</v>
      </c>
      <c r="AJ214" s="4">
        <v>19.899999999999999</v>
      </c>
      <c r="AK214" s="4">
        <v>19.899999999999999</v>
      </c>
      <c r="AL214" s="4">
        <v>19.38</v>
      </c>
      <c r="AM214" s="4">
        <v>19.010000000000002</v>
      </c>
      <c r="AN214" s="4">
        <v>20.059999999999999</v>
      </c>
      <c r="AO214" s="4">
        <v>19.75</v>
      </c>
      <c r="AP214" s="4">
        <v>19.21</v>
      </c>
      <c r="AQ214" s="4">
        <v>19.48</v>
      </c>
      <c r="AR214" s="4">
        <v>19.18</v>
      </c>
      <c r="AS214" s="4">
        <v>18.55</v>
      </c>
      <c r="AT214" s="4">
        <v>18.68</v>
      </c>
      <c r="AU214" s="4">
        <v>18.704999999999998</v>
      </c>
      <c r="AV214" s="4">
        <v>18.989999999999998</v>
      </c>
      <c r="AW214" s="4">
        <v>18.510000000000002</v>
      </c>
      <c r="AX214" s="4">
        <v>18.05</v>
      </c>
      <c r="AY214" s="12">
        <v>19</v>
      </c>
      <c r="AZ214" s="12">
        <v>21.49</v>
      </c>
      <c r="BA214" s="12">
        <v>21.15</v>
      </c>
      <c r="BB214" s="18">
        <v>20.97</v>
      </c>
      <c r="BC214" s="63">
        <v>21.05</v>
      </c>
      <c r="BD214" s="63">
        <v>20.69</v>
      </c>
      <c r="BE214" s="63">
        <v>21.99</v>
      </c>
      <c r="BF214" s="63">
        <v>20.59</v>
      </c>
      <c r="BG214" s="91" cm="1">
        <f t="array" aca="1" ref="BG214" ca="1">_FV(EE214,"Preço")</f>
        <v>19.14</v>
      </c>
      <c r="BH214" s="93" t="s">
        <v>211</v>
      </c>
      <c r="BI214" s="32" cm="1">
        <f t="array" aca="1" ref="BI214" ca="1">_FV(EE214,"Beta")</f>
        <v>0.76700000000000002</v>
      </c>
      <c r="BJ214" s="96" cm="1">
        <f t="array" aca="1" ref="BJ214" ca="1">_FV(EE214,"Variação (%)",TRUE)</f>
        <v>3.125E-2</v>
      </c>
      <c r="BK214" s="49"/>
      <c r="BL214" s="49"/>
      <c r="BN214" s="32"/>
      <c r="BO214" s="20" cm="1">
        <f t="array" aca="1" ref="BO214" ca="1">_FV(EE214,"Baixo")</f>
        <v>18.559999999999999</v>
      </c>
      <c r="BP214" s="20" cm="1">
        <f t="array" aca="1" ref="BP214" ca="1">_FV(EE214,"Alto")</f>
        <v>19.149999999999999</v>
      </c>
      <c r="BQ214" s="32"/>
      <c r="BR214" s="74" t="e">
        <f ca="1">SQRT(22.5*(BG214/VLOOKUP(BH214,Fundamentus!A:U,3,FALSE))*(BG214/VLOOKUP(BH214,Fundamentus!A:U,4,FALSE)))</f>
        <v>#NUM!</v>
      </c>
      <c r="BT214" s="73">
        <f t="shared" ca="1" si="235"/>
        <v>-7.0422535211267567E-2</v>
      </c>
      <c r="BU214" s="36">
        <f t="shared" si="236"/>
        <v>-0.26479438314944842</v>
      </c>
      <c r="BV214" s="8"/>
      <c r="BW214" s="72">
        <f t="shared" si="237"/>
        <v>18.05</v>
      </c>
      <c r="BX214" s="72">
        <f t="shared" si="238"/>
        <v>24.254568965517247</v>
      </c>
      <c r="BY214" s="72">
        <f t="shared" si="239"/>
        <v>32.47</v>
      </c>
      <c r="BZ214" s="17"/>
      <c r="CA214" s="17"/>
      <c r="CB214" s="43">
        <f t="shared" si="240"/>
        <v>19.958285390887458</v>
      </c>
      <c r="CC214" s="18">
        <f t="shared" si="241"/>
        <v>21.063364573570759</v>
      </c>
      <c r="CD214" s="43">
        <f t="shared" si="242"/>
        <v>22.16844375625406</v>
      </c>
      <c r="CE214" s="98">
        <f t="shared" ca="1" si="243"/>
        <v>-1.7404767040317735</v>
      </c>
      <c r="CF214" s="17"/>
      <c r="CG214" s="20">
        <f t="shared" si="244"/>
        <v>0.51666666666666927</v>
      </c>
      <c r="CH214" s="20">
        <f t="shared" si="245"/>
        <v>9.283333333333335</v>
      </c>
      <c r="CI214" s="20">
        <f t="shared" si="246"/>
        <v>14.936666666666667</v>
      </c>
      <c r="CJ214" s="49">
        <f t="shared" si="247"/>
        <v>23.703333333333333</v>
      </c>
      <c r="CK214" s="20">
        <f t="shared" si="248"/>
        <v>29.356666666666666</v>
      </c>
      <c r="CL214" s="20">
        <f t="shared" si="249"/>
        <v>38.123333333333335</v>
      </c>
      <c r="CM214" s="20">
        <f t="shared" si="250"/>
        <v>43.776666666666664</v>
      </c>
      <c r="CN214" s="2" cm="1">
        <f t="array" aca="1" ref="CN214" ca="1">MAX(_xlfn._xlws.FILTER(CG214:CM214,CG214:CM214&lt;BG214))</f>
        <v>14.936666666666667</v>
      </c>
      <c r="CO214" s="2" cm="1">
        <f t="array" aca="1" ref="CO214" ca="1">MIN(_xlfn._xlws.FILTER($CG214:$CM214,$CG214:$CM214&gt;BG214))</f>
        <v>23.703333333333333</v>
      </c>
      <c r="CP214" s="19">
        <f t="shared" ca="1" si="259"/>
        <v>0.58692256192814085</v>
      </c>
      <c r="CQ214" s="23">
        <f t="shared" ca="1" si="260"/>
        <v>-0.29346128096407043</v>
      </c>
      <c r="CR214" s="23">
        <f t="shared" ca="1" si="261"/>
        <v>-0.19564085397604694</v>
      </c>
      <c r="CS214" s="23">
        <f t="shared" ca="1" si="262"/>
        <v>-0.11738451238562816</v>
      </c>
      <c r="CT214" s="23">
        <f t="shared" ca="1" si="263"/>
        <v>-6.5213617992015652E-2</v>
      </c>
      <c r="CU214" s="23">
        <f t="shared" ca="1" si="264"/>
        <v>-3.4524856584008286E-2</v>
      </c>
      <c r="CV214" s="23">
        <f t="shared" ca="1" si="265"/>
        <v>-1.7785532179640632E-2</v>
      </c>
      <c r="CW214" s="23">
        <f t="shared" ca="1" si="266"/>
        <v>-9.0295778758175509E-3</v>
      </c>
      <c r="CX214" s="24">
        <f t="shared" ca="1" si="267"/>
        <v>9.0295778758175509E-3</v>
      </c>
      <c r="CY214" s="24">
        <f t="shared" ca="1" si="268"/>
        <v>1.7785532179640632E-2</v>
      </c>
      <c r="CZ214" s="24">
        <f t="shared" ca="1" si="269"/>
        <v>3.4524856584008286E-2</v>
      </c>
      <c r="DA214" s="24">
        <f t="shared" ca="1" si="270"/>
        <v>6.5213617992015652E-2</v>
      </c>
      <c r="DB214" s="24">
        <f t="shared" ca="1" si="271"/>
        <v>0.11738451238562816</v>
      </c>
      <c r="DC214" s="24">
        <f t="shared" ca="1" si="272"/>
        <v>0.19564085397604694</v>
      </c>
      <c r="DD214" s="24">
        <f t="shared" ca="1" si="273"/>
        <v>0.29346128096407043</v>
      </c>
      <c r="DF214" s="19" cm="1">
        <f t="array" aca="1" ref="DF214" ca="1">MAX(_xlfn._xlws.FILTER(CQ214:DD214,CQ214:DD214&lt;BJ214))</f>
        <v>1.7785532179640632E-2</v>
      </c>
      <c r="DG214" s="19" cm="1">
        <f t="array" aca="1" ref="DG214" ca="1">MIN(_xlfn._xlws.FILTER(CQ214:DD214,CQ214:DD214&gt;BJ214))</f>
        <v>3.4524856584008286E-2</v>
      </c>
      <c r="DH214" s="2" cm="1">
        <f t="array" aca="1" ref="DH214" ca="1">_FV(EE214,"Fechamento anterior",TRUE)</f>
        <v>18.559999999999999</v>
      </c>
      <c r="DI214" s="36">
        <f t="shared" ca="1" si="251"/>
        <v>0.80436148407795383</v>
      </c>
      <c r="DJ214" s="18">
        <f t="shared" ca="1" si="274"/>
        <v>18.890099477254129</v>
      </c>
      <c r="DK214" s="18">
        <f t="shared" ca="1" si="275"/>
        <v>19.200781338199192</v>
      </c>
      <c r="DL214" s="9"/>
      <c r="DM214" s="9"/>
      <c r="DN214" s="9"/>
      <c r="DO214" s="9"/>
      <c r="DP214" s="79">
        <v>3.6968459700264286E-2</v>
      </c>
      <c r="DQ214" s="79">
        <v>1.3992799641527214E-2</v>
      </c>
      <c r="DR214" s="79">
        <v>2.0164614381962331E-2</v>
      </c>
      <c r="DS214" s="79">
        <f t="shared" ca="1" si="252"/>
        <v>1.6739324404367654E-2</v>
      </c>
      <c r="DT214" s="47"/>
      <c r="DU214" s="43">
        <f t="shared" si="253"/>
        <v>0.55253959134165131</v>
      </c>
      <c r="DV214" s="83">
        <f t="shared" ca="1" si="254"/>
        <v>1.1931</v>
      </c>
      <c r="DW214" s="83">
        <f t="shared" ca="1" si="255"/>
        <v>-2.3580000000000001</v>
      </c>
      <c r="DX214" s="83">
        <f t="shared" ca="1" si="234"/>
        <v>3.5510999999999999</v>
      </c>
      <c r="DY214" s="67"/>
      <c r="DZ214" s="67"/>
      <c r="EA214" s="85"/>
      <c r="EB214" s="44">
        <v>4400</v>
      </c>
      <c r="EC214" s="44" cm="1">
        <f t="array" aca="1" ref="EC214" ca="1">_FV(EE214,"Volume")</f>
        <v>1300</v>
      </c>
      <c r="EE214" s="2" t="e" vm="216">
        <v>#VALUE!</v>
      </c>
      <c r="EG214" s="10" cm="1">
        <f t="array" aca="1" ref="EG214" ca="1">_FV(EE214,"Ações em circulação",TRUE)</f>
        <v>29018750</v>
      </c>
      <c r="EH214" s="21">
        <f>VLOOKUP(BH214,Fundamentus!A:U,5,FALSE)</f>
        <v>0.86799999999999999</v>
      </c>
      <c r="EI214" s="2">
        <f t="shared" ca="1" si="256"/>
        <v>639883496.54377878</v>
      </c>
      <c r="EJ214" s="20">
        <v>-113648156.58842164</v>
      </c>
      <c r="EK214" s="20">
        <f t="shared" ca="1" si="257"/>
        <v>-105644765.27937788</v>
      </c>
      <c r="EM214" s="40" t="str">
        <f>IF(VLOOKUP(BH214,Fundamentus!A:U,3,FALSE)&lt;15,"Bom",IF(VLOOKUP(BH214,Fundamentus!A:U,3,FALSE)&gt;15,"Ruim","n/a"))</f>
        <v>Bom</v>
      </c>
      <c r="EN214" s="36" t="str">
        <f>IF(VLOOKUP(BH214,Fundamentus!A:U,4,FALSE)&lt;1,"Baixo",IF(VLOOKUP(BH214,Fundamentus!A:U,4,FALSE)&lt;1.5,"Moderado",IF(VLOOKUP(BH214,Fundamentus!A:U,4,FALSE)&gt;1.5,"Alto","n/a")))</f>
        <v>Moderado</v>
      </c>
      <c r="EO214" s="20" t="str">
        <f>IF(VLOOKUP(BH214,Fundamentus!A:U,8,FALSE)&lt;0,"Risco elevado",IF(VLOOKUP(BH214,Fundamentus!A:U,8,FALSE)&lt;1,"Saudável",IF(VLOOKUP(BH214,Fundamentus!A:U,8,FALSE)&lt;3,"Estável",IF(VLOOKUP(BH214,Fundamentus!A:U,8,FALSE)&gt;3,"Alerta","n/a"))))</f>
        <v>Estável</v>
      </c>
      <c r="EP214" s="36" t="str">
        <f t="shared" si="258"/>
        <v>Ruim</v>
      </c>
      <c r="EQ214" s="20" t="str">
        <f>IF(VLOOKUP(BH214,Fundamentus!A:U,12,FALSE)&lt;2,"Subvalorizada",IF(VLOOKUP(BH214,Fundamentus!A:U,12,FALSE)&lt;6,"Muita barata",IF(VLOOKUP(BH214,Fundamentus!A:U,12,FALSE)&lt;6,"Barata",IF(VLOOKUP(BH214,Fundamentus!A:U,12,FALSE)&lt;8,"Atrativa",IF(VLOOKUP(BH214,Fundamentus!A:U,12,FALSE)&gt;8,"Supervalorizada","n/a")))))</f>
        <v>Subvalorizada</v>
      </c>
      <c r="ES214" s="20" t="str">
        <f>IF(VLOOKUP(BH214,Fundamentus!A:U,17,FALSE)&lt;0.1,"Fraco retorno",IF(VLOOKUP(BH214,Fundamentus!A:U,17,FALSE)&gt;0.1,"Bom retorno","n/a"))</f>
        <v>Fraco retorno</v>
      </c>
      <c r="ET214" s="20" t="str">
        <f>IF(VLOOKUP(BH214,Fundamentus!A:U,16,FALSE)&lt;0.1,"Ineficiente",IF(VLOOKUP(BH214,Fundamentus!A:U,16,FALSE)&gt;0.1,"Eficiente","n/a"))</f>
        <v>Ineficiente</v>
      </c>
      <c r="EU214" s="41" t="str">
        <f>IF(VLOOKUP(BH214,Fundamentus!A:U,16,FALSE)&lt;0.1,"Oper. Ineficiente",IF(VLOOKUP(BH214,Fundamentus!A:U,16,FALSE)&gt;0.1,"Oper.Eficiente","n/a"))</f>
        <v>Oper. Ineficiente</v>
      </c>
      <c r="EV214" s="42">
        <f>VLOOKUP(BH214,Fundamentus!A:U,14,FALSE)</f>
        <v>-0.1651</v>
      </c>
      <c r="EW214" s="20" t="str">
        <f>IF(VLOOKUP(BH214,Fundamentus!A:U,21,FALSE)&lt;0,"Negativo",IF(VLOOKUP(BH214,Fundamentus!A:U,21,FALSE)&lt;0.05,"Fraco",IF(VLOOKUP(BH214,Fundamentus!A:U,21,FALSE)&lt;0.1,"Bom",IF(VLOOKUP(BH214,Fundamentus!A:U,21,FALSE)&gt;0.1,"Muito bom","n/a"))))</f>
        <v>Negativo</v>
      </c>
      <c r="EY214" s="37" t="str">
        <f>IF(VLOOKUP(BH214,Fundamentus!A:U,15,FALSE)&gt;1,"Bom",IF(VLOOKUP(BH214,Fundamentus!A:U,15,FALSE)&lt;1,"Ruim","n/a"))</f>
        <v>Bom</v>
      </c>
      <c r="EZ214" s="20" t="str">
        <f>IF(VLOOKUP(BH214,Fundamentus!A:U,20,FALSE)&lt;0.5,"Baixa",IF(VLOOKUP(BH214,Fundamentus!A:U,20,FALSE)&lt;1,"Moderada",IF(VLOOKUP(BH214,Fundamentus!A:U,20,FALSE)&lt;2,"Alerta",IF(VLOOKUP(BH214,Fundamentus!A:U,20,FALSE)&gt;2,"Alta","n/a"))))</f>
        <v>Baixa</v>
      </c>
    </row>
    <row r="215" spans="1:156" s="2" customFormat="1" ht="11.25" hidden="1" x14ac:dyDescent="0.2">
      <c r="A215" s="4">
        <v>41</v>
      </c>
      <c r="B215" s="4">
        <v>41</v>
      </c>
      <c r="C215" s="4">
        <v>39.49</v>
      </c>
      <c r="D215" s="4">
        <v>38.25</v>
      </c>
      <c r="E215" s="4">
        <v>35.65</v>
      </c>
      <c r="F215" s="4">
        <v>35.799999999999997</v>
      </c>
      <c r="G215" s="4">
        <v>35.71</v>
      </c>
      <c r="H215" s="4">
        <v>35</v>
      </c>
      <c r="I215" s="4">
        <v>35.75</v>
      </c>
      <c r="J215" s="4">
        <v>39.880000000000003</v>
      </c>
      <c r="K215" s="4">
        <v>41.69</v>
      </c>
      <c r="L215" s="4">
        <v>40.299999999999997</v>
      </c>
      <c r="M215" s="4">
        <v>38.25</v>
      </c>
      <c r="N215" s="4">
        <v>36.4</v>
      </c>
      <c r="O215" s="4">
        <v>35.08</v>
      </c>
      <c r="P215" s="4">
        <v>36.28</v>
      </c>
      <c r="Q215" s="4">
        <v>36.57</v>
      </c>
      <c r="R215" s="4">
        <v>35.01</v>
      </c>
      <c r="S215" s="4">
        <v>36.06</v>
      </c>
      <c r="T215" s="4">
        <v>37.96</v>
      </c>
      <c r="U215" s="4">
        <v>36</v>
      </c>
      <c r="V215" s="4">
        <v>33.5</v>
      </c>
      <c r="W215" s="4">
        <v>34.89</v>
      </c>
      <c r="X215" s="4">
        <v>30.13</v>
      </c>
      <c r="Y215" s="4">
        <v>28.82</v>
      </c>
      <c r="Z215" s="4">
        <v>26.09</v>
      </c>
      <c r="AA215" s="4">
        <v>25.96</v>
      </c>
      <c r="AB215" s="4">
        <v>24.71</v>
      </c>
      <c r="AC215" s="4">
        <v>23.61</v>
      </c>
      <c r="AD215" s="4">
        <v>22.04</v>
      </c>
      <c r="AE215" s="4">
        <v>19.96</v>
      </c>
      <c r="AF215" s="4">
        <v>20.05</v>
      </c>
      <c r="AG215" s="4">
        <v>20</v>
      </c>
      <c r="AH215" s="4">
        <v>20.420000000000002</v>
      </c>
      <c r="AI215" s="4">
        <v>20.73</v>
      </c>
      <c r="AJ215" s="4">
        <v>20.25</v>
      </c>
      <c r="AK215" s="4">
        <v>20.04</v>
      </c>
      <c r="AL215" s="4">
        <v>20.100000000000001</v>
      </c>
      <c r="AM215" s="4">
        <v>20.07</v>
      </c>
      <c r="AN215" s="4">
        <v>20.94</v>
      </c>
      <c r="AO215" s="4">
        <v>20.7</v>
      </c>
      <c r="AP215" s="4">
        <v>21.77</v>
      </c>
      <c r="AQ215" s="4">
        <v>20.89</v>
      </c>
      <c r="AR215" s="4">
        <v>21.75</v>
      </c>
      <c r="AS215" s="4">
        <v>21.42</v>
      </c>
      <c r="AT215" s="4">
        <v>21.5</v>
      </c>
      <c r="AU215" s="4">
        <v>21.934999999999999</v>
      </c>
      <c r="AV215" s="4">
        <v>21.06</v>
      </c>
      <c r="AW215" s="4">
        <v>21.17</v>
      </c>
      <c r="AX215" s="4">
        <v>21.22</v>
      </c>
      <c r="AY215" s="12">
        <v>21.25</v>
      </c>
      <c r="AZ215" s="12">
        <v>22.25</v>
      </c>
      <c r="BA215" s="12">
        <v>22.32</v>
      </c>
      <c r="BB215" s="18">
        <v>22.61</v>
      </c>
      <c r="BC215" s="63">
        <v>24.7</v>
      </c>
      <c r="BD215" s="63">
        <v>24.7</v>
      </c>
      <c r="BE215" s="63">
        <v>25.55</v>
      </c>
      <c r="BF215" s="63">
        <v>25.45</v>
      </c>
      <c r="BG215" s="91" cm="1">
        <f t="array" aca="1" ref="BG215" ca="1">_FV(EE215,"Preço")</f>
        <v>25.51</v>
      </c>
      <c r="BH215" s="93" t="s">
        <v>212</v>
      </c>
      <c r="BI215" s="32" cm="1">
        <f t="array" aca="1" ref="BI215" ca="1">_FV(EE215,"Beta")</f>
        <v>0.91620000000000001</v>
      </c>
      <c r="BJ215" s="96" cm="1">
        <f t="array" aca="1" ref="BJ215" ca="1">_FV(EE215,"Variação (%)",TRUE)</f>
        <v>-2.7369999999999998E-3</v>
      </c>
      <c r="BK215" s="49"/>
      <c r="BL215" s="49"/>
      <c r="BN215" s="32"/>
      <c r="BO215" s="20" cm="1">
        <f t="array" aca="1" ref="BO215" ca="1">_FV(EE215,"Baixo")</f>
        <v>25.4</v>
      </c>
      <c r="BP215" s="20" cm="1">
        <f t="array" aca="1" ref="BP215" ca="1">_FV(EE215,"Alto")</f>
        <v>25.55</v>
      </c>
      <c r="BQ215" s="32"/>
      <c r="BR215" s="74">
        <f ca="1">SQRT(22.5*(BG215/VLOOKUP(BH215,Fundamentus!A:U,3,FALSE))*(BG215/VLOOKUP(BH215,Fundamentus!A:U,4,FALSE)))</f>
        <v>11.932030347362469</v>
      </c>
      <c r="BT215" s="73">
        <f t="shared" ca="1" si="235"/>
        <v>2.3575638506877121E-3</v>
      </c>
      <c r="BU215" s="36">
        <f t="shared" si="236"/>
        <v>-0.37682926829268293</v>
      </c>
      <c r="BV215" s="8"/>
      <c r="BW215" s="72">
        <f t="shared" si="237"/>
        <v>19.96</v>
      </c>
      <c r="BX215" s="72">
        <f t="shared" si="238"/>
        <v>28.304913793103456</v>
      </c>
      <c r="BY215" s="72">
        <f t="shared" si="239"/>
        <v>41.69</v>
      </c>
      <c r="BZ215" s="17"/>
      <c r="CA215" s="17"/>
      <c r="CB215" s="43">
        <f t="shared" si="240"/>
        <v>25.045475269105239</v>
      </c>
      <c r="CC215" s="18">
        <f t="shared" si="241"/>
        <v>25.848594189315691</v>
      </c>
      <c r="CD215" s="43">
        <f t="shared" si="242"/>
        <v>26.651713109526142</v>
      </c>
      <c r="CE215" s="98">
        <f t="shared" ca="1" si="243"/>
        <v>-0.42159906932209101</v>
      </c>
      <c r="CF215" s="17"/>
      <c r="CG215" s="20">
        <f t="shared" si="244"/>
        <v>-5.3533333333333317</v>
      </c>
      <c r="CH215" s="20">
        <f t="shared" si="245"/>
        <v>7.3033333333333346</v>
      </c>
      <c r="CI215" s="20">
        <f t="shared" si="246"/>
        <v>16.376666666666665</v>
      </c>
      <c r="CJ215" s="49">
        <f t="shared" si="247"/>
        <v>29.033333333333331</v>
      </c>
      <c r="CK215" s="20">
        <f t="shared" si="248"/>
        <v>38.106666666666662</v>
      </c>
      <c r="CL215" s="20">
        <f t="shared" si="249"/>
        <v>50.763333333333328</v>
      </c>
      <c r="CM215" s="20">
        <f t="shared" si="250"/>
        <v>59.836666666666659</v>
      </c>
      <c r="CN215" s="2" cm="1">
        <f t="array" aca="1" ref="CN215" ca="1">MAX(_xlfn._xlws.FILTER(CG215:CM215,CG215:CM215&lt;BG215))</f>
        <v>16.376666666666665</v>
      </c>
      <c r="CO215" s="2" cm="1">
        <f t="array" aca="1" ref="CO215" ca="1">MIN(_xlfn._xlws.FILTER($CG215:$CM215,$CG215:$CM215&gt;BG215))</f>
        <v>29.033333333333331</v>
      </c>
      <c r="CP215" s="19">
        <f t="shared" ca="1" si="259"/>
        <v>0.77284754732342775</v>
      </c>
      <c r="CQ215" s="23">
        <f t="shared" ca="1" si="260"/>
        <v>-0.38642377366171388</v>
      </c>
      <c r="CR215" s="23">
        <f t="shared" ca="1" si="261"/>
        <v>-0.25761584910780927</v>
      </c>
      <c r="CS215" s="23">
        <f t="shared" ca="1" si="262"/>
        <v>-0.15456950946468556</v>
      </c>
      <c r="CT215" s="23">
        <f t="shared" ca="1" si="263"/>
        <v>-8.587194970260309E-2</v>
      </c>
      <c r="CU215" s="23">
        <f t="shared" ca="1" si="264"/>
        <v>-4.546162043078987E-2</v>
      </c>
      <c r="CV215" s="23">
        <f t="shared" ca="1" si="265"/>
        <v>-2.3419622646164477E-2</v>
      </c>
      <c r="CW215" s="23">
        <f t="shared" ca="1" si="266"/>
        <v>-1.1889962266514273E-2</v>
      </c>
      <c r="CX215" s="24">
        <f t="shared" ca="1" si="267"/>
        <v>1.1889962266514273E-2</v>
      </c>
      <c r="CY215" s="24">
        <f t="shared" ca="1" si="268"/>
        <v>2.3419622646164477E-2</v>
      </c>
      <c r="CZ215" s="24">
        <f t="shared" ca="1" si="269"/>
        <v>4.546162043078987E-2</v>
      </c>
      <c r="DA215" s="24">
        <f t="shared" ca="1" si="270"/>
        <v>8.587194970260309E-2</v>
      </c>
      <c r="DB215" s="24">
        <f t="shared" ca="1" si="271"/>
        <v>0.15456950946468556</v>
      </c>
      <c r="DC215" s="24">
        <f t="shared" ca="1" si="272"/>
        <v>0.25761584910780927</v>
      </c>
      <c r="DD215" s="24">
        <f t="shared" ca="1" si="273"/>
        <v>0.38642377366171388</v>
      </c>
      <c r="DF215" s="19" cm="1">
        <f t="array" aca="1" ref="DF215" ca="1">MAX(_xlfn._xlws.FILTER(CQ215:DD215,CQ215:DD215&lt;BJ215))</f>
        <v>-1.1889962266514273E-2</v>
      </c>
      <c r="DG215" s="19" cm="1">
        <f t="array" aca="1" ref="DG215" ca="1">MIN(_xlfn._xlws.FILTER(CQ215:DD215,CQ215:DD215&gt;BJ215))</f>
        <v>1.1889962266514273E-2</v>
      </c>
      <c r="DH215" s="2" cm="1">
        <f t="array" aca="1" ref="DH215" ca="1">_FV(EE215,"Fechamento anterior",TRUE)</f>
        <v>25.58</v>
      </c>
      <c r="DI215" s="36">
        <f t="shared" ca="1" si="251"/>
        <v>0.38492339843624318</v>
      </c>
      <c r="DJ215" s="18">
        <f t="shared" ca="1" si="274"/>
        <v>25.275854765222562</v>
      </c>
      <c r="DK215" s="18">
        <f t="shared" ca="1" si="275"/>
        <v>25.884145234777435</v>
      </c>
      <c r="DL215" s="9"/>
      <c r="DM215" s="9"/>
      <c r="DN215" s="9"/>
      <c r="DO215" s="9"/>
      <c r="DP215" s="79">
        <v>3.5130806193272815E-2</v>
      </c>
      <c r="DQ215" s="79">
        <v>3.5130806193272815E-2</v>
      </c>
      <c r="DR215" s="79">
        <v>3.5130806193272815E-2</v>
      </c>
      <c r="DS215" s="79">
        <f t="shared" ca="1" si="252"/>
        <v>2.3779924533028546E-2</v>
      </c>
      <c r="DT215" s="47"/>
      <c r="DU215" s="43">
        <f t="shared" si="253"/>
        <v>0.40155946010522564</v>
      </c>
      <c r="DV215" s="83">
        <f t="shared" ca="1" si="254"/>
        <v>1.3423</v>
      </c>
      <c r="DW215" s="83">
        <f t="shared" ca="1" si="255"/>
        <v>1.1899</v>
      </c>
      <c r="DX215" s="83">
        <f t="shared" ca="1" si="234"/>
        <v>0.15240000000000009</v>
      </c>
      <c r="DY215" s="67"/>
      <c r="DZ215" s="67"/>
      <c r="EA215" s="85"/>
      <c r="EB215" s="44">
        <v>2000</v>
      </c>
      <c r="EC215" s="44" cm="1">
        <f t="array" aca="1" ref="EC215" ca="1">_FV(EE215,"Volume")</f>
        <v>7300</v>
      </c>
      <c r="EE215" s="2" t="e" vm="217">
        <v>#VALUE!</v>
      </c>
      <c r="EG215" s="10" cm="1">
        <f t="array" aca="1" ref="EG215" ca="1">_FV(EE215,"Ações em circulação",TRUE)</f>
        <v>107306500</v>
      </c>
      <c r="EH215" s="21">
        <f>VLOOKUP(BH215,Fundamentus!A:U,5,FALSE)</f>
        <v>0.95699999999999996</v>
      </c>
      <c r="EI215" s="2">
        <f t="shared" ca="1" si="256"/>
        <v>2860385386.6248693</v>
      </c>
      <c r="EJ215" s="20">
        <v>71626808.429989561</v>
      </c>
      <c r="EK215" s="20">
        <f t="shared" ca="1" si="257"/>
        <v>71795673.204284221</v>
      </c>
      <c r="EM215" s="40" t="str">
        <f>IF(VLOOKUP(BH215,Fundamentus!A:U,3,FALSE)&lt;15,"Bom",IF(VLOOKUP(BH215,Fundamentus!A:U,3,FALSE)&gt;15,"Ruim","n/a"))</f>
        <v>Ruim</v>
      </c>
      <c r="EN215" s="36" t="str">
        <f>IF(VLOOKUP(BH215,Fundamentus!A:U,4,FALSE)&lt;1,"Baixo",IF(VLOOKUP(BH215,Fundamentus!A:U,4,FALSE)&lt;1.5,"Moderado",IF(VLOOKUP(BH215,Fundamentus!A:U,4,FALSE)&gt;1.5,"Alto","n/a")))</f>
        <v>Alto</v>
      </c>
      <c r="EO215" s="20" t="str">
        <f>IF(VLOOKUP(BH215,Fundamentus!A:U,8,FALSE)&lt;0,"Risco elevado",IF(VLOOKUP(BH215,Fundamentus!A:U,8,FALSE)&lt;1,"Saudável",IF(VLOOKUP(BH215,Fundamentus!A:U,8,FALSE)&lt;3,"Estável",IF(VLOOKUP(BH215,Fundamentus!A:U,8,FALSE)&gt;3,"Alerta","n/a"))))</f>
        <v>Alerta</v>
      </c>
      <c r="EP215" s="36" t="str">
        <f t="shared" si="258"/>
        <v>Ruim</v>
      </c>
      <c r="EQ215" s="20" t="str">
        <f>IF(VLOOKUP(BH215,Fundamentus!A:U,12,FALSE)&lt;2,"Subvalorizada",IF(VLOOKUP(BH215,Fundamentus!A:U,12,FALSE)&lt;6,"Muita barata",IF(VLOOKUP(BH215,Fundamentus!A:U,12,FALSE)&lt;6,"Barata",IF(VLOOKUP(BH215,Fundamentus!A:U,12,FALSE)&lt;8,"Atrativa",IF(VLOOKUP(BH215,Fundamentus!A:U,12,FALSE)&gt;8,"Supervalorizada","n/a")))))</f>
        <v>Atrativa</v>
      </c>
      <c r="ES215" s="20" t="str">
        <f>IF(VLOOKUP(BH215,Fundamentus!A:U,17,FALSE)&lt;0.1,"Fraco retorno",IF(VLOOKUP(BH215,Fundamentus!A:U,17,FALSE)&gt;0.1,"Bom retorno","n/a"))</f>
        <v>Fraco retorno</v>
      </c>
      <c r="ET215" s="20" t="str">
        <f>IF(VLOOKUP(BH215,Fundamentus!A:U,16,FALSE)&lt;0.1,"Ineficiente",IF(VLOOKUP(BH215,Fundamentus!A:U,16,FALSE)&gt;0.1,"Eficiente","n/a"))</f>
        <v>Ineficiente</v>
      </c>
      <c r="EU215" s="41" t="str">
        <f>IF(VLOOKUP(BH215,Fundamentus!A:U,16,FALSE)&lt;0.1,"Oper. Ineficiente",IF(VLOOKUP(BH215,Fundamentus!A:U,16,FALSE)&gt;0.1,"Oper.Eficiente","n/a"))</f>
        <v>Oper. Ineficiente</v>
      </c>
      <c r="EV215" s="42">
        <f>VLOOKUP(BH215,Fundamentus!A:U,14,FALSE)</f>
        <v>2.5100000000000001E-2</v>
      </c>
      <c r="EW215" s="20" t="str">
        <f>IF(VLOOKUP(BH215,Fundamentus!A:U,21,FALSE)&lt;0,"Negativo",IF(VLOOKUP(BH215,Fundamentus!A:U,21,FALSE)&lt;0.05,"Fraco",IF(VLOOKUP(BH215,Fundamentus!A:U,21,FALSE)&lt;0.1,"Bom",IF(VLOOKUP(BH215,Fundamentus!A:U,21,FALSE)&gt;0.1,"Muito bom","n/a"))))</f>
        <v>Muito bom</v>
      </c>
      <c r="EY215" s="37" t="str">
        <f>IF(VLOOKUP(BH215,Fundamentus!A:U,15,FALSE)&gt;1,"Bom",IF(VLOOKUP(BH215,Fundamentus!A:U,15,FALSE)&lt;1,"Ruim","n/a"))</f>
        <v>Bom</v>
      </c>
      <c r="EZ215" s="20" t="str">
        <f>IF(VLOOKUP(BH215,Fundamentus!A:U,20,FALSE)&lt;0.5,"Baixa",IF(VLOOKUP(BH215,Fundamentus!A:U,20,FALSE)&lt;1,"Moderada",IF(VLOOKUP(BH215,Fundamentus!A:U,20,FALSE)&lt;2,"Alerta",IF(VLOOKUP(BH215,Fundamentus!A:U,20,FALSE)&gt;2,"Alta","n/a"))))</f>
        <v>Alerta</v>
      </c>
    </row>
    <row r="216" spans="1:156" s="2" customFormat="1" ht="11.25" hidden="1" x14ac:dyDescent="0.2">
      <c r="A216" s="4">
        <v>7.48</v>
      </c>
      <c r="B216" s="4">
        <v>8.1</v>
      </c>
      <c r="C216" s="4">
        <v>8.52</v>
      </c>
      <c r="D216" s="4">
        <v>8.16</v>
      </c>
      <c r="E216" s="4">
        <v>8.1300000000000008</v>
      </c>
      <c r="F216" s="4">
        <v>7.68</v>
      </c>
      <c r="G216" s="4">
        <v>7.31</v>
      </c>
      <c r="H216" s="4">
        <v>7.5</v>
      </c>
      <c r="I216" s="4">
        <v>7.53</v>
      </c>
      <c r="J216" s="4">
        <v>9</v>
      </c>
      <c r="K216" s="4">
        <v>9.15</v>
      </c>
      <c r="L216" s="4">
        <v>8.98</v>
      </c>
      <c r="M216" s="4">
        <v>8.94</v>
      </c>
      <c r="N216" s="4">
        <v>9.01</v>
      </c>
      <c r="O216" s="4">
        <v>8.48</v>
      </c>
      <c r="P216" s="4">
        <v>8.26</v>
      </c>
      <c r="Q216" s="4">
        <v>8.23</v>
      </c>
      <c r="R216" s="4">
        <v>7.6</v>
      </c>
      <c r="S216" s="4">
        <v>7.42</v>
      </c>
      <c r="T216" s="4">
        <v>7.32</v>
      </c>
      <c r="U216" s="4">
        <v>6.57</v>
      </c>
      <c r="V216" s="4">
        <v>6.5</v>
      </c>
      <c r="W216" s="4">
        <v>5.64</v>
      </c>
      <c r="X216" s="4">
        <v>5.6</v>
      </c>
      <c r="Y216" s="4">
        <v>5.99</v>
      </c>
      <c r="Z216" s="4">
        <v>6.32</v>
      </c>
      <c r="AA216" s="4">
        <v>5.77</v>
      </c>
      <c r="AB216" s="4">
        <v>5.71</v>
      </c>
      <c r="AC216" s="4">
        <v>5.53</v>
      </c>
      <c r="AD216" s="4">
        <v>6.1</v>
      </c>
      <c r="AE216" s="4">
        <v>5.79</v>
      </c>
      <c r="AF216" s="4">
        <v>5.3</v>
      </c>
      <c r="AG216" s="4">
        <v>5.6</v>
      </c>
      <c r="AH216" s="4">
        <v>5.0199999999999996</v>
      </c>
      <c r="AI216" s="4">
        <v>4.66</v>
      </c>
      <c r="AJ216" s="4">
        <v>4.58</v>
      </c>
      <c r="AK216" s="4">
        <v>4.4400000000000004</v>
      </c>
      <c r="AL216" s="4">
        <v>4.6399999999999997</v>
      </c>
      <c r="AM216" s="4">
        <v>4.5599999999999996</v>
      </c>
      <c r="AN216" s="4">
        <v>4.84</v>
      </c>
      <c r="AO216" s="4">
        <v>4.0599999999999996</v>
      </c>
      <c r="AP216" s="4">
        <v>5</v>
      </c>
      <c r="AQ216" s="4">
        <v>4.62</v>
      </c>
      <c r="AR216" s="4">
        <v>3.81</v>
      </c>
      <c r="AS216" s="4">
        <v>3.82</v>
      </c>
      <c r="AT216" s="4">
        <v>3.95</v>
      </c>
      <c r="AU216" s="4">
        <v>4.3499999999999996</v>
      </c>
      <c r="AV216" s="4">
        <v>4.67</v>
      </c>
      <c r="AW216" s="4">
        <v>4.3600000000000003</v>
      </c>
      <c r="AX216" s="4">
        <v>4.87</v>
      </c>
      <c r="AY216" s="12">
        <v>4.99</v>
      </c>
      <c r="AZ216" s="12">
        <v>5.36</v>
      </c>
      <c r="BA216" s="12">
        <v>4.92</v>
      </c>
      <c r="BB216" s="18">
        <v>4.55</v>
      </c>
      <c r="BC216" s="63">
        <v>4.34</v>
      </c>
      <c r="BD216" s="63">
        <v>4.12</v>
      </c>
      <c r="BE216" s="63">
        <v>4.97</v>
      </c>
      <c r="BF216" s="63">
        <v>4.53</v>
      </c>
      <c r="BG216" s="91" cm="1">
        <f t="array" aca="1" ref="BG216" ca="1">_FV(EE216,"Preço")</f>
        <v>4.6399999999999997</v>
      </c>
      <c r="BH216" s="93" t="s">
        <v>213</v>
      </c>
      <c r="BI216" s="32" cm="1">
        <f t="array" aca="1" ref="BI216" ca="1">_FV(EE216,"Beta")</f>
        <v>1.2801</v>
      </c>
      <c r="BJ216" s="96" cm="1">
        <f t="array" aca="1" ref="BJ216" ca="1">_FV(EE216,"Variação (%)",TRUE)</f>
        <v>-2.521E-2</v>
      </c>
      <c r="BK216" s="49"/>
      <c r="BL216" s="49"/>
      <c r="BN216" s="32"/>
      <c r="BO216" s="20" cm="1">
        <f t="array" aca="1" ref="BO216" ca="1">_FV(EE216,"Baixo")</f>
        <v>4.57</v>
      </c>
      <c r="BP216" s="20" cm="1">
        <f t="array" aca="1" ref="BP216" ca="1">_FV(EE216,"Alto")</f>
        <v>4.79</v>
      </c>
      <c r="BQ216" s="32"/>
      <c r="BR216" s="74">
        <f ca="1">SQRT(22.5*(BG216/VLOOKUP(BH216,Fundamentus!A:U,3,FALSE))*(BG216/VLOOKUP(BH216,Fundamentus!A:U,4,FALSE)))</f>
        <v>3.7122243901226866</v>
      </c>
      <c r="BT216" s="73">
        <f t="shared" ca="1" si="235"/>
        <v>2.428256070640164E-2</v>
      </c>
      <c r="BU216" s="36">
        <f t="shared" si="236"/>
        <v>-0.33556149732620327</v>
      </c>
      <c r="BV216" s="8"/>
      <c r="BW216" s="72">
        <f t="shared" si="237"/>
        <v>3.81</v>
      </c>
      <c r="BX216" s="72">
        <f t="shared" si="238"/>
        <v>6.0905172413793114</v>
      </c>
      <c r="BY216" s="72">
        <f t="shared" si="239"/>
        <v>9.15</v>
      </c>
      <c r="BZ216" s="17"/>
      <c r="CA216" s="17"/>
      <c r="CB216" s="43">
        <f t="shared" si="240"/>
        <v>4.2050738404861647</v>
      </c>
      <c r="CC216" s="18">
        <f t="shared" si="241"/>
        <v>4.8306935332708463</v>
      </c>
      <c r="CD216" s="43">
        <f t="shared" si="242"/>
        <v>5.4563132260555278</v>
      </c>
      <c r="CE216" s="98">
        <f t="shared" ca="1" si="243"/>
        <v>-0.30480743408516275</v>
      </c>
      <c r="CF216" s="17"/>
      <c r="CG216" s="20">
        <f t="shared" si="244"/>
        <v>-2.8299999999999987</v>
      </c>
      <c r="CH216" s="20">
        <f t="shared" si="245"/>
        <v>0.4900000000000011</v>
      </c>
      <c r="CI216" s="20">
        <f t="shared" si="246"/>
        <v>2.5100000000000016</v>
      </c>
      <c r="CJ216" s="49">
        <f t="shared" si="247"/>
        <v>5.830000000000001</v>
      </c>
      <c r="CK216" s="20">
        <f t="shared" si="248"/>
        <v>7.8500000000000014</v>
      </c>
      <c r="CL216" s="20">
        <f t="shared" si="249"/>
        <v>11.170000000000002</v>
      </c>
      <c r="CM216" s="20">
        <f t="shared" si="250"/>
        <v>13.190000000000001</v>
      </c>
      <c r="CN216" s="2" cm="1">
        <f t="array" aca="1" ref="CN216" ca="1">MAX(_xlfn._xlws.FILTER(CG216:CM216,CG216:CM216&lt;BG216))</f>
        <v>2.5100000000000016</v>
      </c>
      <c r="CO216" s="2" cm="1">
        <f t="array" aca="1" ref="CO216" ca="1">MIN(_xlfn._xlws.FILTER($CG216:$CM216,$CG216:$CM216&gt;BG216))</f>
        <v>5.830000000000001</v>
      </c>
      <c r="CP216" s="19">
        <f t="shared" ca="1" si="259"/>
        <v>1.3227091633466124</v>
      </c>
      <c r="CQ216" s="23">
        <f t="shared" ca="1" si="260"/>
        <v>-0.66135458167330619</v>
      </c>
      <c r="CR216" s="23">
        <f t="shared" ca="1" si="261"/>
        <v>-0.44090305444887079</v>
      </c>
      <c r="CS216" s="23">
        <f t="shared" ca="1" si="262"/>
        <v>-0.26454183266932246</v>
      </c>
      <c r="CT216" s="23">
        <f t="shared" ca="1" si="263"/>
        <v>-0.14696768481629027</v>
      </c>
      <c r="CU216" s="23">
        <f t="shared" ca="1" si="264"/>
        <v>-7.7806421373330145E-2</v>
      </c>
      <c r="CV216" s="23">
        <f t="shared" ca="1" si="265"/>
        <v>-4.0082095858988254E-2</v>
      </c>
      <c r="CW216" s="23">
        <f t="shared" ca="1" si="266"/>
        <v>-2.0349371743794035E-2</v>
      </c>
      <c r="CX216" s="24">
        <f t="shared" ca="1" si="267"/>
        <v>2.0349371743794035E-2</v>
      </c>
      <c r="CY216" s="24">
        <f t="shared" ca="1" si="268"/>
        <v>4.0082095858988254E-2</v>
      </c>
      <c r="CZ216" s="24">
        <f t="shared" ca="1" si="269"/>
        <v>7.7806421373330145E-2</v>
      </c>
      <c r="DA216" s="24">
        <f t="shared" ca="1" si="270"/>
        <v>0.14696768481629027</v>
      </c>
      <c r="DB216" s="24">
        <f t="shared" ca="1" si="271"/>
        <v>0.26454183266932246</v>
      </c>
      <c r="DC216" s="24">
        <f t="shared" ca="1" si="272"/>
        <v>0.44090305444887079</v>
      </c>
      <c r="DD216" s="24">
        <f t="shared" ca="1" si="273"/>
        <v>0.66135458167330619</v>
      </c>
      <c r="DF216" s="19" cm="1">
        <f t="array" aca="1" ref="DF216" ca="1">MAX(_xlfn._xlws.FILTER(CQ216:DD216,CQ216:DD216&lt;BJ216))</f>
        <v>-4.0082095858988254E-2</v>
      </c>
      <c r="DG216" s="19" cm="1">
        <f t="array" aca="1" ref="DG216" ca="1">MIN(_xlfn._xlws.FILTER(CQ216:DD216,CQ216:DD216&gt;BJ216))</f>
        <v>-2.0349371743794035E-2</v>
      </c>
      <c r="DH216" s="2" cm="1">
        <f t="array" aca="1" ref="DH216" ca="1">_FV(EE216,"Fechamento anterior",TRUE)</f>
        <v>4.76</v>
      </c>
      <c r="DI216" s="36">
        <f t="shared" ca="1" si="251"/>
        <v>0.7536725156930244</v>
      </c>
      <c r="DJ216" s="18">
        <f t="shared" ca="1" si="274"/>
        <v>4.5692092237112156</v>
      </c>
      <c r="DK216" s="18">
        <f t="shared" ca="1" si="275"/>
        <v>4.6631369904995399</v>
      </c>
      <c r="DL216" s="9"/>
      <c r="DM216" s="9"/>
      <c r="DN216" s="9"/>
      <c r="DO216" s="9"/>
      <c r="DP216" s="79">
        <v>6.2721893491124239E-2</v>
      </c>
      <c r="DQ216" s="79">
        <v>2.7292326709785437E-2</v>
      </c>
      <c r="DR216" s="79">
        <v>2.7292326709785437E-2</v>
      </c>
      <c r="DS216" s="79">
        <f t="shared" ca="1" si="252"/>
        <v>1.9732724115194219E-2</v>
      </c>
      <c r="DT216" s="47"/>
      <c r="DU216" s="43">
        <f t="shared" si="253"/>
        <v>0.31280984639234094</v>
      </c>
      <c r="DV216" s="83">
        <f t="shared" ca="1" si="254"/>
        <v>1.7061999999999999</v>
      </c>
      <c r="DW216" s="83">
        <f t="shared" ca="1" si="255"/>
        <v>3.8010999999999999</v>
      </c>
      <c r="DX216" s="83">
        <f t="shared" ca="1" si="234"/>
        <v>-2.0949</v>
      </c>
      <c r="DY216" s="67"/>
      <c r="DZ216" s="67"/>
      <c r="EA216" s="85"/>
      <c r="EB216" s="44">
        <v>20174400</v>
      </c>
      <c r="EC216" s="44" cm="1">
        <f t="array" aca="1" ref="EC216" ca="1">_FV(EE216,"Volume")</f>
        <v>11011100</v>
      </c>
      <c r="EE216" s="2" t="e" vm="218">
        <v>#VALUE!</v>
      </c>
      <c r="EG216" s="10" cm="1">
        <f t="array" aca="1" ref="EG216" ca="1">_FV(EE216,"Ações em circulação",TRUE)</f>
        <v>1081033000</v>
      </c>
      <c r="EH216" s="21">
        <f>VLOOKUP(BH216,Fundamentus!A:U,5,FALSE)</f>
        <v>1.2</v>
      </c>
      <c r="EI216" s="2">
        <f t="shared" ca="1" si="256"/>
        <v>4179994266.666667</v>
      </c>
      <c r="EJ216" s="20">
        <v>289743869.82499999</v>
      </c>
      <c r="EK216" s="20">
        <f t="shared" ca="1" si="257"/>
        <v>296779592.93333334</v>
      </c>
      <c r="EM216" s="40" t="str">
        <f>IF(VLOOKUP(BH216,Fundamentus!A:U,3,FALSE)&lt;15,"Bom",IF(VLOOKUP(BH216,Fundamentus!A:U,3,FALSE)&gt;15,"Ruim","n/a"))</f>
        <v>Ruim</v>
      </c>
      <c r="EN216" s="36" t="str">
        <f>IF(VLOOKUP(BH216,Fundamentus!A:U,4,FALSE)&lt;1,"Baixo",IF(VLOOKUP(BH216,Fundamentus!A:U,4,FALSE)&lt;1.5,"Moderado",IF(VLOOKUP(BH216,Fundamentus!A:U,4,FALSE)&gt;1.5,"Alto","n/a")))</f>
        <v>Alto</v>
      </c>
      <c r="EO216" s="20" t="str">
        <f>IF(VLOOKUP(BH216,Fundamentus!A:U,8,FALSE)&lt;0,"Risco elevado",IF(VLOOKUP(BH216,Fundamentus!A:U,8,FALSE)&lt;1,"Saudável",IF(VLOOKUP(BH216,Fundamentus!A:U,8,FALSE)&lt;3,"Estável",IF(VLOOKUP(BH216,Fundamentus!A:U,8,FALSE)&gt;3,"Alerta","n/a"))))</f>
        <v>Estável</v>
      </c>
      <c r="EP216" s="36" t="str">
        <f t="shared" si="258"/>
        <v>Bom</v>
      </c>
      <c r="EQ216" s="20" t="str">
        <f>IF(VLOOKUP(BH216,Fundamentus!A:U,12,FALSE)&lt;2,"Subvalorizada",IF(VLOOKUP(BH216,Fundamentus!A:U,12,FALSE)&lt;6,"Muita barata",IF(VLOOKUP(BH216,Fundamentus!A:U,12,FALSE)&lt;6,"Barata",IF(VLOOKUP(BH216,Fundamentus!A:U,12,FALSE)&lt;8,"Atrativa",IF(VLOOKUP(BH216,Fundamentus!A:U,12,FALSE)&gt;8,"Supervalorizada","n/a")))))</f>
        <v>Muita barata</v>
      </c>
      <c r="ES216" s="20" t="str">
        <f>IF(VLOOKUP(BH216,Fundamentus!A:U,17,FALSE)&lt;0.1,"Fraco retorno",IF(VLOOKUP(BH216,Fundamentus!A:U,17,FALSE)&gt;0.1,"Bom retorno","n/a"))</f>
        <v>Bom retorno</v>
      </c>
      <c r="ET216" s="20" t="str">
        <f>IF(VLOOKUP(BH216,Fundamentus!A:U,16,FALSE)&lt;0.1,"Ineficiente",IF(VLOOKUP(BH216,Fundamentus!A:U,16,FALSE)&gt;0.1,"Eficiente","n/a"))</f>
        <v>Eficiente</v>
      </c>
      <c r="EU216" s="41" t="str">
        <f>IF(VLOOKUP(BH216,Fundamentus!A:U,16,FALSE)&lt;0.1,"Oper. Ineficiente",IF(VLOOKUP(BH216,Fundamentus!A:U,16,FALSE)&gt;0.1,"Oper.Eficiente","n/a"))</f>
        <v>Oper.Eficiente</v>
      </c>
      <c r="EV216" s="42">
        <f>VLOOKUP(BH216,Fundamentus!A:U,14,FALSE)</f>
        <v>7.0999999999999994E-2</v>
      </c>
      <c r="EW216" s="20" t="str">
        <f>IF(VLOOKUP(BH216,Fundamentus!A:U,21,FALSE)&lt;0,"Negativo",IF(VLOOKUP(BH216,Fundamentus!A:U,21,FALSE)&lt;0.05,"Fraco",IF(VLOOKUP(BH216,Fundamentus!A:U,21,FALSE)&lt;0.1,"Bom",IF(VLOOKUP(BH216,Fundamentus!A:U,21,FALSE)&gt;0.1,"Muito bom","n/a"))))</f>
        <v>Muito bom</v>
      </c>
      <c r="EY216" s="37" t="str">
        <f>IF(VLOOKUP(BH216,Fundamentus!A:U,15,FALSE)&gt;1,"Bom",IF(VLOOKUP(BH216,Fundamentus!A:U,15,FALSE)&lt;1,"Ruim","n/a"))</f>
        <v>Bom</v>
      </c>
      <c r="EZ216" s="20" t="str">
        <f>IF(VLOOKUP(BH216,Fundamentus!A:U,20,FALSE)&lt;0.5,"Baixa",IF(VLOOKUP(BH216,Fundamentus!A:U,20,FALSE)&lt;1,"Moderada",IF(VLOOKUP(BH216,Fundamentus!A:U,20,FALSE)&lt;2,"Alerta",IF(VLOOKUP(BH216,Fundamentus!A:U,20,FALSE)&gt;2,"Alta","n/a"))))</f>
        <v>Alta</v>
      </c>
    </row>
    <row r="217" spans="1:156" s="2" customFormat="1" ht="11.25" hidden="1" x14ac:dyDescent="0.2">
      <c r="A217" s="4">
        <v>4.3600000000000003</v>
      </c>
      <c r="B217" s="4">
        <v>4.2</v>
      </c>
      <c r="C217" s="4">
        <v>4.1399999999999997</v>
      </c>
      <c r="D217" s="4">
        <v>4.07</v>
      </c>
      <c r="E217" s="4">
        <v>4</v>
      </c>
      <c r="F217" s="4">
        <v>3.87</v>
      </c>
      <c r="G217" s="4">
        <v>3.75</v>
      </c>
      <c r="H217" s="4">
        <v>3.85</v>
      </c>
      <c r="I217" s="4">
        <v>3.95</v>
      </c>
      <c r="J217" s="4">
        <v>4.26</v>
      </c>
      <c r="K217" s="4">
        <v>4.3099999999999996</v>
      </c>
      <c r="L217" s="4">
        <v>4.0199999999999996</v>
      </c>
      <c r="M217" s="4">
        <v>4</v>
      </c>
      <c r="N217" s="4">
        <v>4.01</v>
      </c>
      <c r="O217" s="4">
        <v>4.17</v>
      </c>
      <c r="P217" s="4">
        <v>4.29</v>
      </c>
      <c r="Q217" s="4">
        <v>4.46</v>
      </c>
      <c r="R217" s="4">
        <v>4.37</v>
      </c>
      <c r="S217" s="4">
        <v>4.49</v>
      </c>
      <c r="T217" s="4">
        <v>4.54</v>
      </c>
      <c r="U217" s="4">
        <v>4.18</v>
      </c>
      <c r="V217" s="4">
        <v>4.0999999999999996</v>
      </c>
      <c r="W217" s="4">
        <v>4.3099999999999996</v>
      </c>
      <c r="X217" s="4">
        <v>4.2300000000000004</v>
      </c>
      <c r="Y217" s="4">
        <v>4.4800000000000004</v>
      </c>
      <c r="Z217" s="4">
        <v>4.4000000000000004</v>
      </c>
      <c r="AA217" s="4">
        <v>4.3099999999999996</v>
      </c>
      <c r="AB217" s="4">
        <v>4.5</v>
      </c>
      <c r="AC217" s="4">
        <v>4.45</v>
      </c>
      <c r="AD217" s="4">
        <v>4.49</v>
      </c>
      <c r="AE217" s="4">
        <v>4.34</v>
      </c>
      <c r="AF217" s="4">
        <v>4.04</v>
      </c>
      <c r="AG217" s="4">
        <v>3.91</v>
      </c>
      <c r="AH217" s="4">
        <v>3.78</v>
      </c>
      <c r="AI217" s="4">
        <v>3.74</v>
      </c>
      <c r="AJ217" s="4">
        <v>3.66</v>
      </c>
      <c r="AK217" s="4">
        <v>3.65</v>
      </c>
      <c r="AL217" s="4">
        <v>3.66</v>
      </c>
      <c r="AM217" s="4">
        <v>3.69</v>
      </c>
      <c r="AN217" s="4">
        <v>3.96</v>
      </c>
      <c r="AO217" s="4">
        <v>3.87</v>
      </c>
      <c r="AP217" s="4">
        <v>4.01</v>
      </c>
      <c r="AQ217" s="4">
        <v>3.84</v>
      </c>
      <c r="AR217" s="4">
        <v>3.56</v>
      </c>
      <c r="AS217" s="4">
        <v>3.78</v>
      </c>
      <c r="AT217" s="4">
        <v>3.89</v>
      </c>
      <c r="AU217" s="4">
        <v>3.9249999999999998</v>
      </c>
      <c r="AV217" s="4">
        <v>4.13</v>
      </c>
      <c r="AW217" s="4">
        <v>4.0999999999999996</v>
      </c>
      <c r="AX217" s="4">
        <v>4.1900000000000004</v>
      </c>
      <c r="AY217" s="12">
        <v>4.55</v>
      </c>
      <c r="AZ217" s="12">
        <v>5.0599999999999996</v>
      </c>
      <c r="BA217" s="12">
        <v>5.13</v>
      </c>
      <c r="BB217" s="18">
        <v>5.0999999999999996</v>
      </c>
      <c r="BC217" s="63">
        <v>5.17</v>
      </c>
      <c r="BD217" s="63">
        <v>5.0599999999999996</v>
      </c>
      <c r="BE217" s="63">
        <v>5.35</v>
      </c>
      <c r="BF217" s="63">
        <v>5.24</v>
      </c>
      <c r="BG217" s="91" cm="1">
        <f t="array" aca="1" ref="BG217" ca="1">_FV(EE217,"Preço")</f>
        <v>5.23</v>
      </c>
      <c r="BH217" s="93" t="s">
        <v>214</v>
      </c>
      <c r="BI217" s="32" cm="1">
        <f t="array" aca="1" ref="BI217" ca="1">_FV(EE217,"Beta")</f>
        <v>1.6369</v>
      </c>
      <c r="BJ217" s="96" cm="1">
        <f t="array" aca="1" ref="BJ217" ca="1">_FV(EE217,"Variação (%)",TRUE)</f>
        <v>-1.3207999999999999E-2</v>
      </c>
      <c r="BK217" s="49"/>
      <c r="BL217" s="49"/>
      <c r="BN217" s="32"/>
      <c r="BO217" s="20" cm="1">
        <f t="array" aca="1" ref="BO217" ca="1">_FV(EE217,"Baixo")</f>
        <v>5.16</v>
      </c>
      <c r="BP217" s="20" cm="1">
        <f t="array" aca="1" ref="BP217" ca="1">_FV(EE217,"Alto")</f>
        <v>5.29</v>
      </c>
      <c r="BQ217" s="32"/>
      <c r="BR217" s="74">
        <f ca="1">SQRT(22.5*(BG217/VLOOKUP(BH217,Fundamentus!A:U,3,FALSE))*(BG217/VLOOKUP(BH217,Fundamentus!A:U,4,FALSE)))</f>
        <v>17.000602893192855</v>
      </c>
      <c r="BT217" s="73">
        <f t="shared" ca="1" si="235"/>
        <v>-1.9083969465648447E-3</v>
      </c>
      <c r="BU217" s="36">
        <f t="shared" si="236"/>
        <v>0.22706422018348607</v>
      </c>
      <c r="BV217" s="8"/>
      <c r="BW217" s="72">
        <f t="shared" si="237"/>
        <v>3.56</v>
      </c>
      <c r="BX217" s="72">
        <f t="shared" si="238"/>
        <v>4.2231896551724137</v>
      </c>
      <c r="BY217" s="72">
        <f t="shared" si="239"/>
        <v>5.35</v>
      </c>
      <c r="BZ217" s="17"/>
      <c r="CA217" s="17"/>
      <c r="CB217" s="43">
        <f t="shared" si="240"/>
        <v>5.1128267136074852</v>
      </c>
      <c r="CC217" s="18">
        <f t="shared" si="241"/>
        <v>5.3237769447047754</v>
      </c>
      <c r="CD217" s="43">
        <f t="shared" si="242"/>
        <v>5.5347271758020655</v>
      </c>
      <c r="CE217" s="98">
        <f t="shared" ca="1" si="243"/>
        <v>-0.44454535184427008</v>
      </c>
      <c r="CF217" s="17"/>
      <c r="CG217" s="20">
        <f t="shared" si="244"/>
        <v>2.2933333333333343</v>
      </c>
      <c r="CH217" s="20">
        <f t="shared" si="245"/>
        <v>2.9266666666666672</v>
      </c>
      <c r="CI217" s="20">
        <f t="shared" si="246"/>
        <v>4.0833333333333339</v>
      </c>
      <c r="CJ217" s="49">
        <f t="shared" si="247"/>
        <v>4.7166666666666668</v>
      </c>
      <c r="CK217" s="20">
        <f t="shared" si="248"/>
        <v>5.8733333333333331</v>
      </c>
      <c r="CL217" s="20">
        <f t="shared" si="249"/>
        <v>6.5066666666666659</v>
      </c>
      <c r="CM217" s="20">
        <f t="shared" si="250"/>
        <v>7.6633333333333331</v>
      </c>
      <c r="CN217" s="2" cm="1">
        <f t="array" aca="1" ref="CN217" ca="1">MAX(_xlfn._xlws.FILTER(CG217:CM217,CG217:CM217&lt;BG217))</f>
        <v>4.7166666666666668</v>
      </c>
      <c r="CO217" s="2" cm="1">
        <f t="array" aca="1" ref="CO217" ca="1">MIN(_xlfn._xlws.FILTER($CG217:$CM217,$CG217:$CM217&gt;BG217))</f>
        <v>5.8733333333333331</v>
      </c>
      <c r="CP217" s="19">
        <f t="shared" ca="1" si="259"/>
        <v>0.24522968197879846</v>
      </c>
      <c r="CQ217" s="23">
        <f t="shared" ca="1" si="260"/>
        <v>-0.12261484098939923</v>
      </c>
      <c r="CR217" s="23">
        <f t="shared" ca="1" si="261"/>
        <v>-8.1743227326266155E-2</v>
      </c>
      <c r="CS217" s="23">
        <f t="shared" ca="1" si="262"/>
        <v>-4.9045936395759694E-2</v>
      </c>
      <c r="CT217" s="23">
        <f t="shared" ca="1" si="263"/>
        <v>-2.7247742442088718E-2</v>
      </c>
      <c r="CU217" s="23">
        <f t="shared" ca="1" si="264"/>
        <v>-1.4425275410517557E-2</v>
      </c>
      <c r="CV217" s="23">
        <f t="shared" ca="1" si="265"/>
        <v>-7.4312024842060143E-3</v>
      </c>
      <c r="CW217" s="23">
        <f t="shared" ca="1" si="266"/>
        <v>-3.7727643381353609E-3</v>
      </c>
      <c r="CX217" s="24">
        <f t="shared" ca="1" si="267"/>
        <v>3.7727643381353609E-3</v>
      </c>
      <c r="CY217" s="24">
        <f t="shared" ca="1" si="268"/>
        <v>7.4312024842060143E-3</v>
      </c>
      <c r="CZ217" s="24">
        <f t="shared" ca="1" si="269"/>
        <v>1.4425275410517557E-2</v>
      </c>
      <c r="DA217" s="24">
        <f t="shared" ca="1" si="270"/>
        <v>2.7247742442088718E-2</v>
      </c>
      <c r="DB217" s="24">
        <f t="shared" ca="1" si="271"/>
        <v>4.9045936395759694E-2</v>
      </c>
      <c r="DC217" s="24">
        <f t="shared" ca="1" si="272"/>
        <v>8.1743227326266155E-2</v>
      </c>
      <c r="DD217" s="24">
        <f t="shared" ca="1" si="273"/>
        <v>0.12261484098939923</v>
      </c>
      <c r="DF217" s="19" cm="1">
        <f t="array" aca="1" ref="DF217" ca="1">MAX(_xlfn._xlws.FILTER(CQ217:DD217,CQ217:DD217&lt;BJ217))</f>
        <v>-1.4425275410517557E-2</v>
      </c>
      <c r="DG217" s="19" cm="1">
        <f t="array" aca="1" ref="DG217" ca="1">MIN(_xlfn._xlws.FILTER(CQ217:DD217,CQ217:DD217&gt;BJ217))</f>
        <v>-7.4312024842060143E-3</v>
      </c>
      <c r="DH217" s="2" cm="1">
        <f t="array" aca="1" ref="DH217" ca="1">_FV(EE217,"Fechamento anterior",TRUE)</f>
        <v>5.3</v>
      </c>
      <c r="DI217" s="36">
        <f t="shared" ca="1" si="251"/>
        <v>0.17410859931490091</v>
      </c>
      <c r="DJ217" s="18">
        <f t="shared" ca="1" si="274"/>
        <v>5.2235460403242566</v>
      </c>
      <c r="DK217" s="18">
        <f t="shared" ca="1" si="275"/>
        <v>5.260614626833708</v>
      </c>
      <c r="DL217" s="9"/>
      <c r="DM217" s="9"/>
      <c r="DN217" s="9"/>
      <c r="DO217" s="9"/>
      <c r="DP217" s="79" t="e" vm="4">
        <v>#VALUE!</v>
      </c>
      <c r="DQ217" s="79">
        <v>5.3933456203317572E-3</v>
      </c>
      <c r="DR217" s="79">
        <v>5.5665480551335385E-3</v>
      </c>
      <c r="DS217" s="79">
        <f t="shared" ca="1" si="252"/>
        <v>6.9940729263115427E-3</v>
      </c>
      <c r="DT217" s="47"/>
      <c r="DU217" s="43">
        <f t="shared" si="253"/>
        <v>0.10547511554864497</v>
      </c>
      <c r="DV217" s="83">
        <f t="shared" ca="1" si="254"/>
        <v>2.0630000000000002</v>
      </c>
      <c r="DW217" s="83">
        <f t="shared" ca="1" si="255"/>
        <v>2.9577</v>
      </c>
      <c r="DX217" s="83">
        <f t="shared" ca="1" si="234"/>
        <v>-0.89469999999999983</v>
      </c>
      <c r="DY217" s="67"/>
      <c r="DZ217" s="67"/>
      <c r="EA217" s="85"/>
      <c r="EB217" s="44">
        <v>3294800</v>
      </c>
      <c r="EC217" s="44" cm="1">
        <f t="array" aca="1" ref="EC217" ca="1">_FV(EE217,"Volume")</f>
        <v>1764300</v>
      </c>
      <c r="EE217" s="2" t="e" vm="219">
        <v>#VALUE!</v>
      </c>
      <c r="EG217" s="10" cm="1">
        <f t="array" aca="1" ref="EG217" ca="1">_FV(EE217,"Ações em circulação",TRUE)</f>
        <v>681322800</v>
      </c>
      <c r="EH217" s="21">
        <f>VLOOKUP(BH217,Fundamentus!A:U,5,FALSE)</f>
        <v>2.0979999999999999</v>
      </c>
      <c r="EI217" s="2">
        <f t="shared" ca="1" si="256"/>
        <v>1698435769.3040996</v>
      </c>
      <c r="EJ217" s="20">
        <v>1048577222.615062</v>
      </c>
      <c r="EK217" s="20">
        <f t="shared" ca="1" si="257"/>
        <v>1046576121.045186</v>
      </c>
      <c r="EM217" s="40" t="str">
        <f>IF(VLOOKUP(BH217,Fundamentus!A:U,3,FALSE)&lt;15,"Bom",IF(VLOOKUP(BH217,Fundamentus!A:U,3,FALSE)&gt;15,"Ruim","n/a"))</f>
        <v>Bom</v>
      </c>
      <c r="EN217" s="36" t="str">
        <f>IF(VLOOKUP(BH217,Fundamentus!A:U,4,FALSE)&lt;1,"Baixo",IF(VLOOKUP(BH217,Fundamentus!A:U,4,FALSE)&lt;1.5,"Moderado",IF(VLOOKUP(BH217,Fundamentus!A:U,4,FALSE)&gt;1.5,"Alto","n/a")))</f>
        <v>Baixo</v>
      </c>
      <c r="EO217" s="20" t="str">
        <f>IF(VLOOKUP(BH217,Fundamentus!A:U,8,FALSE)&lt;0,"Risco elevado",IF(VLOOKUP(BH217,Fundamentus!A:U,8,FALSE)&lt;1,"Saudável",IF(VLOOKUP(BH217,Fundamentus!A:U,8,FALSE)&lt;3,"Estável",IF(VLOOKUP(BH217,Fundamentus!A:U,8,FALSE)&gt;3,"Alerta","n/a"))))</f>
        <v>Estável</v>
      </c>
      <c r="EP217" s="36" t="str">
        <f t="shared" si="258"/>
        <v>Bom</v>
      </c>
      <c r="EQ217" s="20" t="str">
        <f>IF(VLOOKUP(BH217,Fundamentus!A:U,12,FALSE)&lt;2,"Subvalorizada",IF(VLOOKUP(BH217,Fundamentus!A:U,12,FALSE)&lt;6,"Muita barata",IF(VLOOKUP(BH217,Fundamentus!A:U,12,FALSE)&lt;6,"Barata",IF(VLOOKUP(BH217,Fundamentus!A:U,12,FALSE)&lt;8,"Atrativa",IF(VLOOKUP(BH217,Fundamentus!A:U,12,FALSE)&gt;8,"Supervalorizada","n/a")))))</f>
        <v>Supervalorizada</v>
      </c>
      <c r="ES217" s="20" t="str">
        <f>IF(VLOOKUP(BH217,Fundamentus!A:U,17,FALSE)&lt;0.1,"Fraco retorno",IF(VLOOKUP(BH217,Fundamentus!A:U,17,FALSE)&gt;0.1,"Bom retorno","n/a"))</f>
        <v>Bom retorno</v>
      </c>
      <c r="ET217" s="20" t="str">
        <f>IF(VLOOKUP(BH217,Fundamentus!A:U,16,FALSE)&lt;0.1,"Ineficiente",IF(VLOOKUP(BH217,Fundamentus!A:U,16,FALSE)&gt;0.1,"Eficiente","n/a"))</f>
        <v>Ineficiente</v>
      </c>
      <c r="EU217" s="41" t="str">
        <f>IF(VLOOKUP(BH217,Fundamentus!A:U,16,FALSE)&lt;0.1,"Oper. Ineficiente",IF(VLOOKUP(BH217,Fundamentus!A:U,16,FALSE)&gt;0.1,"Oper.Eficiente","n/a"))</f>
        <v>Oper. Ineficiente</v>
      </c>
      <c r="EV217" s="42">
        <f>VLOOKUP(BH217,Fundamentus!A:U,14,FALSE)</f>
        <v>0.61619999999999997</v>
      </c>
      <c r="EW217" s="20" t="str">
        <f>IF(VLOOKUP(BH217,Fundamentus!A:U,21,FALSE)&lt;0,"Negativo",IF(VLOOKUP(BH217,Fundamentus!A:U,21,FALSE)&lt;0.05,"Fraco",IF(VLOOKUP(BH217,Fundamentus!A:U,21,FALSE)&lt;0.1,"Bom",IF(VLOOKUP(BH217,Fundamentus!A:U,21,FALSE)&gt;0.1,"Muito bom","n/a"))))</f>
        <v>Fraco</v>
      </c>
      <c r="EY217" s="37" t="str">
        <f>IF(VLOOKUP(BH217,Fundamentus!A:U,15,FALSE)&gt;1,"Bom",IF(VLOOKUP(BH217,Fundamentus!A:U,15,FALSE)&lt;1,"Ruim","n/a"))</f>
        <v>Bom</v>
      </c>
      <c r="EZ217" s="20" t="str">
        <f>IF(VLOOKUP(BH217,Fundamentus!A:U,20,FALSE)&lt;0.5,"Baixa",IF(VLOOKUP(BH217,Fundamentus!A:U,20,FALSE)&lt;1,"Moderada",IF(VLOOKUP(BH217,Fundamentus!A:U,20,FALSE)&lt;2,"Alerta",IF(VLOOKUP(BH217,Fundamentus!A:U,20,FALSE)&gt;2,"Alta","n/a"))))</f>
        <v>Moderada</v>
      </c>
    </row>
    <row r="218" spans="1:156" s="2" customFormat="1" ht="11.25" hidden="1" x14ac:dyDescent="0.2">
      <c r="A218" s="4">
        <v>6.05</v>
      </c>
      <c r="B218" s="4">
        <v>6.23</v>
      </c>
      <c r="C218" s="4">
        <v>6.42</v>
      </c>
      <c r="D218" s="4">
        <v>6.14</v>
      </c>
      <c r="E218" s="4">
        <v>6.03</v>
      </c>
      <c r="F218" s="4">
        <v>5.8</v>
      </c>
      <c r="G218" s="4">
        <v>5.39</v>
      </c>
      <c r="H218" s="4">
        <v>5.49</v>
      </c>
      <c r="I218" s="4">
        <v>5.34</v>
      </c>
      <c r="J218" s="4">
        <v>6.88</v>
      </c>
      <c r="K218" s="4">
        <v>6.77</v>
      </c>
      <c r="L218" s="4">
        <v>6.37</v>
      </c>
      <c r="M218" s="4">
        <v>6.39</v>
      </c>
      <c r="N218" s="4">
        <v>6.54</v>
      </c>
      <c r="O218" s="4">
        <v>6.66</v>
      </c>
      <c r="P218" s="4">
        <v>6.5</v>
      </c>
      <c r="Q218" s="4">
        <v>6.93</v>
      </c>
      <c r="R218" s="4">
        <v>6.17</v>
      </c>
      <c r="S218" s="4">
        <v>5.94</v>
      </c>
      <c r="T218" s="4">
        <v>5.96</v>
      </c>
      <c r="U218" s="4">
        <v>5.31</v>
      </c>
      <c r="V218" s="4">
        <v>5.26</v>
      </c>
      <c r="W218" s="4">
        <v>5.24</v>
      </c>
      <c r="X218" s="4">
        <v>4.99</v>
      </c>
      <c r="Y218" s="4">
        <v>5.05</v>
      </c>
      <c r="Z218" s="4">
        <v>5.3</v>
      </c>
      <c r="AA218" s="4">
        <v>4.9800000000000004</v>
      </c>
      <c r="AB218" s="4">
        <v>5.15</v>
      </c>
      <c r="AC218" s="4">
        <v>5.05</v>
      </c>
      <c r="AD218" s="4">
        <v>5.45</v>
      </c>
      <c r="AE218" s="4">
        <v>4.62</v>
      </c>
      <c r="AF218" s="4">
        <v>4.0199999999999996</v>
      </c>
      <c r="AG218" s="4">
        <v>3.71</v>
      </c>
      <c r="AH218" s="4">
        <v>3.59</v>
      </c>
      <c r="AI218" s="4">
        <v>3.52</v>
      </c>
      <c r="AJ218" s="4">
        <v>3.41</v>
      </c>
      <c r="AK218" s="4">
        <v>3.36</v>
      </c>
      <c r="AL218" s="4">
        <v>3.3</v>
      </c>
      <c r="AM218" s="4">
        <v>3.25</v>
      </c>
      <c r="AN218" s="4">
        <v>3.61</v>
      </c>
      <c r="AO218" s="4">
        <v>3.26</v>
      </c>
      <c r="AP218" s="4">
        <v>3.96</v>
      </c>
      <c r="AQ218" s="4">
        <v>3.6</v>
      </c>
      <c r="AR218" s="4">
        <v>3.12</v>
      </c>
      <c r="AS218" s="4">
        <v>3.28</v>
      </c>
      <c r="AT218" s="4">
        <v>3.65</v>
      </c>
      <c r="AU218" s="4">
        <v>4.1449999999999996</v>
      </c>
      <c r="AV218" s="4">
        <v>4.37</v>
      </c>
      <c r="AW218" s="4">
        <v>4.37</v>
      </c>
      <c r="AX218" s="4">
        <v>4.6900000000000004</v>
      </c>
      <c r="AY218" s="12">
        <v>4.9800000000000004</v>
      </c>
      <c r="AZ218" s="12">
        <v>5.65</v>
      </c>
      <c r="BA218" s="12">
        <v>5.36</v>
      </c>
      <c r="BB218" s="18">
        <v>5.09</v>
      </c>
      <c r="BC218" s="63">
        <v>4.83</v>
      </c>
      <c r="BD218" s="63">
        <v>4.7</v>
      </c>
      <c r="BE218" s="63">
        <v>5.33</v>
      </c>
      <c r="BF218" s="63">
        <v>5.09</v>
      </c>
      <c r="BG218" s="91" cm="1">
        <f t="array" aca="1" ref="BG218" ca="1">_FV(EE218,"Preço")</f>
        <v>5.52</v>
      </c>
      <c r="BH218" s="93" t="s">
        <v>215</v>
      </c>
      <c r="BI218" s="32" cm="1">
        <f t="array" aca="1" ref="BI218" ca="1">_FV(EE218,"Beta")</f>
        <v>1.6417999999999999</v>
      </c>
      <c r="BJ218" s="96" cm="1">
        <f t="array" aca="1" ref="BJ218" ca="1">_FV(EE218,"Variação (%)",TRUE)</f>
        <v>-3.3274999999999999E-2</v>
      </c>
      <c r="BK218" s="49"/>
      <c r="BL218" s="49"/>
      <c r="BN218" s="32"/>
      <c r="BO218" s="20" cm="1">
        <f t="array" aca="1" ref="BO218" ca="1">_FV(EE218,"Baixo")</f>
        <v>5.41</v>
      </c>
      <c r="BP218" s="20" cm="1">
        <f t="array" aca="1" ref="BP218" ca="1">_FV(EE218,"Alto")</f>
        <v>5.67</v>
      </c>
      <c r="BQ218" s="32"/>
      <c r="BR218" s="74" t="e">
        <f ca="1">SQRT(22.5*(BG218/VLOOKUP(BH218,Fundamentus!A:U,3,FALSE))*(BG218/VLOOKUP(BH218,Fundamentus!A:U,4,FALSE)))</f>
        <v>#NUM!</v>
      </c>
      <c r="BT218" s="73">
        <f t="shared" ca="1" si="235"/>
        <v>8.4479371316306423E-2</v>
      </c>
      <c r="BU218" s="36">
        <f t="shared" si="236"/>
        <v>-0.11900826446280988</v>
      </c>
      <c r="BV218" s="8"/>
      <c r="BW218" s="72">
        <f t="shared" si="237"/>
        <v>3.12</v>
      </c>
      <c r="BX218" s="72">
        <f t="shared" si="238"/>
        <v>5.0283620689655182</v>
      </c>
      <c r="BY218" s="72">
        <f t="shared" si="239"/>
        <v>6.93</v>
      </c>
      <c r="BZ218" s="17"/>
      <c r="CA218" s="17"/>
      <c r="CB218" s="43">
        <f t="shared" si="240"/>
        <v>4.8413120927108437</v>
      </c>
      <c r="CC218" s="18">
        <f t="shared" si="241"/>
        <v>5.3263636363636806</v>
      </c>
      <c r="CD218" s="43">
        <f t="shared" si="242"/>
        <v>5.8114151800165175</v>
      </c>
      <c r="CE218" s="98">
        <f t="shared" ca="1" si="243"/>
        <v>0.39920780826317542</v>
      </c>
      <c r="CF218" s="17"/>
      <c r="CG218" s="20">
        <f t="shared" si="244"/>
        <v>-0.64666666666666561</v>
      </c>
      <c r="CH218" s="20">
        <f t="shared" si="245"/>
        <v>1.2366666666666672</v>
      </c>
      <c r="CI218" s="20">
        <f t="shared" si="246"/>
        <v>3.163333333333334</v>
      </c>
      <c r="CJ218" s="49">
        <f t="shared" si="247"/>
        <v>5.0466666666666669</v>
      </c>
      <c r="CK218" s="20">
        <f t="shared" si="248"/>
        <v>6.9733333333333336</v>
      </c>
      <c r="CL218" s="20">
        <f t="shared" si="249"/>
        <v>8.8566666666666656</v>
      </c>
      <c r="CM218" s="20">
        <f t="shared" si="250"/>
        <v>10.783333333333333</v>
      </c>
      <c r="CN218" s="2" cm="1">
        <f t="array" aca="1" ref="CN218" ca="1">MAX(_xlfn._xlws.FILTER(CG218:CM218,CG218:CM218&lt;BG218))</f>
        <v>5.0466666666666669</v>
      </c>
      <c r="CO218" s="2" cm="1">
        <f t="array" aca="1" ref="CO218" ca="1">MIN(_xlfn._xlws.FILTER($CG218:$CM218,$CG218:$CM218&gt;BG218))</f>
        <v>6.9733333333333336</v>
      </c>
      <c r="CP218" s="19">
        <f t="shared" ca="1" si="259"/>
        <v>0.38177014531043585</v>
      </c>
      <c r="CQ218" s="23">
        <f t="shared" ca="1" si="260"/>
        <v>-0.19088507265521792</v>
      </c>
      <c r="CR218" s="23">
        <f t="shared" ca="1" si="261"/>
        <v>-0.12725671510347861</v>
      </c>
      <c r="CS218" s="23">
        <f t="shared" ca="1" si="262"/>
        <v>-7.6354029062087173E-2</v>
      </c>
      <c r="CT218" s="23">
        <f t="shared" ca="1" si="263"/>
        <v>-4.2418905034492874E-2</v>
      </c>
      <c r="CU218" s="23">
        <f t="shared" ca="1" si="264"/>
        <v>-2.2457067371202108E-2</v>
      </c>
      <c r="CV218" s="23">
        <f t="shared" ca="1" si="265"/>
        <v>-1.156879228213442E-2</v>
      </c>
      <c r="CW218" s="23">
        <f t="shared" ca="1" si="266"/>
        <v>-5.8733868509297819E-3</v>
      </c>
      <c r="CX218" s="24">
        <f t="shared" ca="1" si="267"/>
        <v>5.8733868509297819E-3</v>
      </c>
      <c r="CY218" s="24">
        <f t="shared" ca="1" si="268"/>
        <v>1.156879228213442E-2</v>
      </c>
      <c r="CZ218" s="24">
        <f t="shared" ca="1" si="269"/>
        <v>2.2457067371202108E-2</v>
      </c>
      <c r="DA218" s="24">
        <f t="shared" ca="1" si="270"/>
        <v>4.2418905034492874E-2</v>
      </c>
      <c r="DB218" s="24">
        <f t="shared" ca="1" si="271"/>
        <v>7.6354029062087173E-2</v>
      </c>
      <c r="DC218" s="24">
        <f t="shared" ca="1" si="272"/>
        <v>0.12725671510347861</v>
      </c>
      <c r="DD218" s="24">
        <f t="shared" ca="1" si="273"/>
        <v>0.19088507265521792</v>
      </c>
      <c r="DF218" s="19" cm="1">
        <f t="array" aca="1" ref="DF218" ca="1">MAX(_xlfn._xlws.FILTER(CQ218:DD218,CQ218:DD218&lt;BJ218))</f>
        <v>-4.2418905034492874E-2</v>
      </c>
      <c r="DG218" s="19" cm="1">
        <f t="array" aca="1" ref="DG218" ca="1">MIN(_xlfn._xlws.FILTER(CQ218:DD218,CQ218:DD218&gt;BJ218))</f>
        <v>-2.2457067371202108E-2</v>
      </c>
      <c r="DH218" s="2" cm="1">
        <f t="array" aca="1" ref="DH218" ca="1">_FV(EE218,"Fechamento anterior",TRUE)</f>
        <v>5.71</v>
      </c>
      <c r="DI218" s="36">
        <f t="shared" ca="1" si="251"/>
        <v>0.45807149479756215</v>
      </c>
      <c r="DJ218" s="18">
        <f t="shared" ca="1" si="274"/>
        <v>5.467788052253046</v>
      </c>
      <c r="DK218" s="18">
        <f t="shared" ca="1" si="275"/>
        <v>5.5817701453104362</v>
      </c>
      <c r="DL218" s="9"/>
      <c r="DM218" s="9"/>
      <c r="DN218" s="9"/>
      <c r="DO218" s="9"/>
      <c r="DP218" s="79">
        <v>1.172314994040002E-2</v>
      </c>
      <c r="DQ218" s="79">
        <v>1.2647475224162329E-2</v>
      </c>
      <c r="DR218" s="79">
        <v>2.1492441557400037E-2</v>
      </c>
      <c r="DS218" s="79">
        <f t="shared" ca="1" si="252"/>
        <v>1.9961837663290766E-2</v>
      </c>
      <c r="DT218" s="47"/>
      <c r="DU218" s="43">
        <f t="shared" si="253"/>
        <v>0.24252577182641843</v>
      </c>
      <c r="DV218" s="83">
        <f t="shared" ca="1" si="254"/>
        <v>2.0678999999999998</v>
      </c>
      <c r="DW218" s="83">
        <f t="shared" ca="1" si="255"/>
        <v>4.9692999999999996</v>
      </c>
      <c r="DX218" s="83">
        <f t="shared" ca="1" si="234"/>
        <v>-2.9013999999999998</v>
      </c>
      <c r="DY218" s="67"/>
      <c r="DZ218" s="67"/>
      <c r="EA218" s="85"/>
      <c r="EB218" s="44">
        <v>5901000</v>
      </c>
      <c r="EC218" s="44" cm="1">
        <f t="array" aca="1" ref="EC218" ca="1">_FV(EE218,"Volume")</f>
        <v>4523900</v>
      </c>
      <c r="EE218" s="2" t="e" vm="220">
        <v>#VALUE!</v>
      </c>
      <c r="EG218" s="10" cm="1">
        <f t="array" aca="1" ref="EG218" ca="1">_FV(EE218,"Ações em circulação",TRUE)</f>
        <v>873040500</v>
      </c>
      <c r="EH218" s="21">
        <f>VLOOKUP(BH218,Fundamentus!A:U,5,FALSE)</f>
        <v>0.108</v>
      </c>
      <c r="EI218" s="2">
        <f t="shared" ca="1" si="256"/>
        <v>44622070000</v>
      </c>
      <c r="EJ218" s="20">
        <v>16458430.166666666</v>
      </c>
      <c r="EK218" s="20">
        <f t="shared" ca="1" si="257"/>
        <v>17848828</v>
      </c>
      <c r="EM218" s="40" t="str">
        <f>IF(VLOOKUP(BH218,Fundamentus!A:U,3,FALSE)&lt;15,"Bom",IF(VLOOKUP(BH218,Fundamentus!A:U,3,FALSE)&gt;15,"Ruim","n/a"))</f>
        <v>Bom</v>
      </c>
      <c r="EN218" s="36" t="str">
        <f>IF(VLOOKUP(BH218,Fundamentus!A:U,4,FALSE)&lt;1,"Baixo",IF(VLOOKUP(BH218,Fundamentus!A:U,4,FALSE)&lt;1.5,"Moderado",IF(VLOOKUP(BH218,Fundamentus!A:U,4,FALSE)&gt;1.5,"Alto","n/a")))</f>
        <v>Alto</v>
      </c>
      <c r="EO218" s="20" t="str">
        <f>IF(VLOOKUP(BH218,Fundamentus!A:U,8,FALSE)&lt;0,"Risco elevado",IF(VLOOKUP(BH218,Fundamentus!A:U,8,FALSE)&lt;1,"Saudável",IF(VLOOKUP(BH218,Fundamentus!A:U,8,FALSE)&lt;3,"Estável",IF(VLOOKUP(BH218,Fundamentus!A:U,8,FALSE)&gt;3,"Alerta","n/a"))))</f>
        <v>Saudável</v>
      </c>
      <c r="EP218" s="36" t="str">
        <f t="shared" si="258"/>
        <v>Ruim</v>
      </c>
      <c r="EQ218" s="20" t="str">
        <f>IF(VLOOKUP(BH218,Fundamentus!A:U,12,FALSE)&lt;2,"Subvalorizada",IF(VLOOKUP(BH218,Fundamentus!A:U,12,FALSE)&lt;6,"Muita barata",IF(VLOOKUP(BH218,Fundamentus!A:U,12,FALSE)&lt;6,"Barata",IF(VLOOKUP(BH218,Fundamentus!A:U,12,FALSE)&lt;8,"Atrativa",IF(VLOOKUP(BH218,Fundamentus!A:U,12,FALSE)&gt;8,"Supervalorizada","n/a")))))</f>
        <v>Muita barata</v>
      </c>
      <c r="ES218" s="20" t="str">
        <f>IF(VLOOKUP(BH218,Fundamentus!A:U,17,FALSE)&lt;0.1,"Fraco retorno",IF(VLOOKUP(BH218,Fundamentus!A:U,17,FALSE)&gt;0.1,"Bom retorno","n/a"))</f>
        <v>Fraco retorno</v>
      </c>
      <c r="ET218" s="20" t="str">
        <f>IF(VLOOKUP(BH218,Fundamentus!A:U,16,FALSE)&lt;0.1,"Ineficiente",IF(VLOOKUP(BH218,Fundamentus!A:U,16,FALSE)&gt;0.1,"Eficiente","n/a"))</f>
        <v>Eficiente</v>
      </c>
      <c r="EU218" s="41" t="str">
        <f>IF(VLOOKUP(BH218,Fundamentus!A:U,16,FALSE)&lt;0.1,"Oper. Ineficiente",IF(VLOOKUP(BH218,Fundamentus!A:U,16,FALSE)&gt;0.1,"Oper.Eficiente","n/a"))</f>
        <v>Oper.Eficiente</v>
      </c>
      <c r="EV218" s="42">
        <f>VLOOKUP(BH218,Fundamentus!A:U,14,FALSE)</f>
        <v>4.0000000000000002E-4</v>
      </c>
      <c r="EW218" s="20" t="str">
        <f>IF(VLOOKUP(BH218,Fundamentus!A:U,21,FALSE)&lt;0,"Negativo",IF(VLOOKUP(BH218,Fundamentus!A:U,21,FALSE)&lt;0.05,"Fraco",IF(VLOOKUP(BH218,Fundamentus!A:U,21,FALSE)&lt;0.1,"Bom",IF(VLOOKUP(BH218,Fundamentus!A:U,21,FALSE)&gt;0.1,"Muito bom","n/a"))))</f>
        <v>Muito bom</v>
      </c>
      <c r="EY218" s="37" t="str">
        <f>IF(VLOOKUP(BH218,Fundamentus!A:U,15,FALSE)&gt;1,"Bom",IF(VLOOKUP(BH218,Fundamentus!A:U,15,FALSE)&lt;1,"Ruim","n/a"))</f>
        <v>Bom</v>
      </c>
      <c r="EZ218" s="20" t="str">
        <f>IF(VLOOKUP(BH218,Fundamentus!A:U,20,FALSE)&lt;0.5,"Baixa",IF(VLOOKUP(BH218,Fundamentus!A:U,20,FALSE)&lt;1,"Moderada",IF(VLOOKUP(BH218,Fundamentus!A:U,20,FALSE)&lt;2,"Alerta",IF(VLOOKUP(BH218,Fundamentus!A:U,20,FALSE)&gt;2,"Alta","n/a"))))</f>
        <v>Alta</v>
      </c>
    </row>
    <row r="219" spans="1:156" s="2" customFormat="1" ht="11.25" hidden="1" x14ac:dyDescent="0.2">
      <c r="A219" s="4">
        <v>8.76</v>
      </c>
      <c r="B219" s="4">
        <v>8.14</v>
      </c>
      <c r="C219" s="4">
        <v>7.73</v>
      </c>
      <c r="D219" s="4">
        <v>7.57</v>
      </c>
      <c r="E219" s="4">
        <v>7.56</v>
      </c>
      <c r="F219" s="4">
        <v>7.14</v>
      </c>
      <c r="G219" s="4">
        <v>6.8</v>
      </c>
      <c r="H219" s="4">
        <v>6.45</v>
      </c>
      <c r="I219" s="4">
        <v>6.92</v>
      </c>
      <c r="J219" s="4">
        <v>7.3</v>
      </c>
      <c r="K219" s="4">
        <v>7.58</v>
      </c>
      <c r="L219" s="4">
        <v>7.34</v>
      </c>
      <c r="M219" s="4">
        <v>7.04</v>
      </c>
      <c r="N219" s="4">
        <v>7.07</v>
      </c>
      <c r="O219" s="4">
        <v>8.1</v>
      </c>
      <c r="P219" s="4">
        <v>8.5299999999999994</v>
      </c>
      <c r="Q219" s="4">
        <v>8.92</v>
      </c>
      <c r="R219" s="4">
        <v>8.66</v>
      </c>
      <c r="S219" s="4">
        <v>8.8800000000000008</v>
      </c>
      <c r="T219" s="4">
        <v>8.93</v>
      </c>
      <c r="U219" s="4">
        <v>8.16</v>
      </c>
      <c r="V219" s="4">
        <v>8.09</v>
      </c>
      <c r="W219" s="4">
        <v>7.57</v>
      </c>
      <c r="X219" s="4">
        <v>8.16</v>
      </c>
      <c r="Y219" s="4">
        <v>7.87</v>
      </c>
      <c r="Z219" s="4">
        <v>8.15</v>
      </c>
      <c r="AA219" s="4">
        <v>8.3699999999999992</v>
      </c>
      <c r="AB219" s="4">
        <v>8.3000000000000007</v>
      </c>
      <c r="AC219" s="4">
        <v>8.01</v>
      </c>
      <c r="AD219" s="4">
        <v>8.25</v>
      </c>
      <c r="AE219" s="4">
        <v>6.97</v>
      </c>
      <c r="AF219" s="4">
        <v>6.75</v>
      </c>
      <c r="AG219" s="4">
        <v>6.5</v>
      </c>
      <c r="AH219" s="4">
        <v>6.19</v>
      </c>
      <c r="AI219" s="4">
        <v>6.15</v>
      </c>
      <c r="AJ219" s="4">
        <v>5.83</v>
      </c>
      <c r="AK219" s="4">
        <v>5.71</v>
      </c>
      <c r="AL219" s="4">
        <v>5.85</v>
      </c>
      <c r="AM219" s="4">
        <v>6.28</v>
      </c>
      <c r="AN219" s="4">
        <v>6.51</v>
      </c>
      <c r="AO219" s="4">
        <v>6.21</v>
      </c>
      <c r="AP219" s="4">
        <v>6.77</v>
      </c>
      <c r="AQ219" s="4">
        <v>6.72</v>
      </c>
      <c r="AR219" s="4">
        <v>6.14</v>
      </c>
      <c r="AS219" s="4">
        <v>6.75</v>
      </c>
      <c r="AT219" s="4">
        <v>7.4</v>
      </c>
      <c r="AU219" s="4">
        <v>7.11</v>
      </c>
      <c r="AV219" s="4">
        <v>6.77</v>
      </c>
      <c r="AW219" s="4">
        <v>6.44</v>
      </c>
      <c r="AX219" s="4">
        <v>6.59</v>
      </c>
      <c r="AY219" s="12">
        <v>7.57</v>
      </c>
      <c r="AZ219" s="12">
        <v>8.11</v>
      </c>
      <c r="BA219" s="12">
        <v>8.14</v>
      </c>
      <c r="BB219" s="18">
        <v>8.11</v>
      </c>
      <c r="BC219" s="63">
        <v>8.06</v>
      </c>
      <c r="BD219" s="63">
        <v>8.11</v>
      </c>
      <c r="BE219" s="63">
        <v>8.5399999999999991</v>
      </c>
      <c r="BF219" s="63">
        <v>8.1</v>
      </c>
      <c r="BG219" s="91" cm="1">
        <f t="array" aca="1" ref="BG219" ca="1">_FV(EE219,"Preço")</f>
        <v>8.01</v>
      </c>
      <c r="BH219" s="93" t="s">
        <v>216</v>
      </c>
      <c r="BI219" s="32" cm="1">
        <f t="array" aca="1" ref="BI219" ca="1">_FV(EE219,"Beta")</f>
        <v>2.1248</v>
      </c>
      <c r="BJ219" s="96" cm="1">
        <f t="array" aca="1" ref="BJ219" ca="1">_FV(EE219,"Variação (%)",TRUE)</f>
        <v>-1.5970999999999999E-2</v>
      </c>
      <c r="BK219" s="49"/>
      <c r="BL219" s="49"/>
      <c r="BN219" s="32"/>
      <c r="BO219" s="20" cm="1">
        <f t="array" aca="1" ref="BO219" ca="1">_FV(EE219,"Baixo")</f>
        <v>7.87</v>
      </c>
      <c r="BP219" s="20" cm="1">
        <f t="array" aca="1" ref="BP219" ca="1">_FV(EE219,"Alto")</f>
        <v>8.0500000000000007</v>
      </c>
      <c r="BQ219" s="32"/>
      <c r="BR219" s="74">
        <f ca="1">SQRT(22.5*(BG219/VLOOKUP(BH219,Fundamentus!A:U,3,FALSE))*(BG219/VLOOKUP(BH219,Fundamentus!A:U,4,FALSE)))</f>
        <v>11.977925806205448</v>
      </c>
      <c r="BT219" s="73">
        <f t="shared" ca="1" si="235"/>
        <v>-1.1111111111111094E-2</v>
      </c>
      <c r="BU219" s="36">
        <f t="shared" si="236"/>
        <v>-2.5114155251141627E-2</v>
      </c>
      <c r="BV219" s="8"/>
      <c r="BW219" s="72">
        <f t="shared" si="237"/>
        <v>5.71</v>
      </c>
      <c r="BX219" s="72">
        <f t="shared" si="238"/>
        <v>7.4263793103448261</v>
      </c>
      <c r="BY219" s="72">
        <f t="shared" si="239"/>
        <v>8.93</v>
      </c>
      <c r="BZ219" s="17"/>
      <c r="CA219" s="17"/>
      <c r="CB219" s="43">
        <f t="shared" si="240"/>
        <v>7.9485714644527699</v>
      </c>
      <c r="CC219" s="18">
        <f t="shared" si="241"/>
        <v>8.3400749765698379</v>
      </c>
      <c r="CD219" s="43">
        <f t="shared" si="242"/>
        <v>8.7315784886869068</v>
      </c>
      <c r="CE219" s="98">
        <f t="shared" ca="1" si="243"/>
        <v>-0.84309582507944025</v>
      </c>
      <c r="CF219" s="17"/>
      <c r="CG219" s="20">
        <f t="shared" si="244"/>
        <v>3.0100000000000025</v>
      </c>
      <c r="CH219" s="20">
        <f t="shared" si="245"/>
        <v>4.3600000000000012</v>
      </c>
      <c r="CI219" s="20">
        <f t="shared" si="246"/>
        <v>6.2300000000000022</v>
      </c>
      <c r="CJ219" s="49">
        <f t="shared" si="247"/>
        <v>7.580000000000001</v>
      </c>
      <c r="CK219" s="20">
        <f t="shared" si="248"/>
        <v>9.4500000000000028</v>
      </c>
      <c r="CL219" s="20">
        <f t="shared" si="249"/>
        <v>10.8</v>
      </c>
      <c r="CM219" s="20">
        <f t="shared" si="250"/>
        <v>12.670000000000002</v>
      </c>
      <c r="CN219" s="2" cm="1">
        <f t="array" aca="1" ref="CN219" ca="1">MAX(_xlfn._xlws.FILTER(CG219:CM219,CG219:CM219&lt;BG219))</f>
        <v>7.580000000000001</v>
      </c>
      <c r="CO219" s="2" cm="1">
        <f t="array" aca="1" ref="CO219" ca="1">MIN(_xlfn._xlws.FILTER($CG219:$CM219,$CG219:$CM219&gt;BG219))</f>
        <v>9.4500000000000028</v>
      </c>
      <c r="CP219" s="19">
        <f t="shared" ca="1" si="259"/>
        <v>0.24670184696569941</v>
      </c>
      <c r="CQ219" s="23">
        <f t="shared" ca="1" si="260"/>
        <v>-0.12335092348284971</v>
      </c>
      <c r="CR219" s="23">
        <f t="shared" ca="1" si="261"/>
        <v>-8.2233948988566466E-2</v>
      </c>
      <c r="CS219" s="23">
        <f t="shared" ca="1" si="262"/>
        <v>-4.9340369393139884E-2</v>
      </c>
      <c r="CT219" s="23">
        <f t="shared" ca="1" si="263"/>
        <v>-2.7411316329522158E-2</v>
      </c>
      <c r="CU219" s="23">
        <f t="shared" ca="1" si="264"/>
        <v>-1.4511873350923495E-2</v>
      </c>
      <c r="CV219" s="23">
        <f t="shared" ca="1" si="265"/>
        <v>-7.4758135444151341E-3</v>
      </c>
      <c r="CW219" s="23">
        <f t="shared" ca="1" si="266"/>
        <v>-3.7954130302415294E-3</v>
      </c>
      <c r="CX219" s="24">
        <f t="shared" ca="1" si="267"/>
        <v>3.7954130302415294E-3</v>
      </c>
      <c r="CY219" s="24">
        <f t="shared" ca="1" si="268"/>
        <v>7.4758135444151341E-3</v>
      </c>
      <c r="CZ219" s="24">
        <f t="shared" ca="1" si="269"/>
        <v>1.4511873350923495E-2</v>
      </c>
      <c r="DA219" s="24">
        <f t="shared" ca="1" si="270"/>
        <v>2.7411316329522158E-2</v>
      </c>
      <c r="DB219" s="24">
        <f t="shared" ca="1" si="271"/>
        <v>4.9340369393139884E-2</v>
      </c>
      <c r="DC219" s="24">
        <f t="shared" ca="1" si="272"/>
        <v>8.2233948988566466E-2</v>
      </c>
      <c r="DD219" s="24">
        <f t="shared" ca="1" si="273"/>
        <v>0.12335092348284971</v>
      </c>
      <c r="DF219" s="19" cm="1">
        <f t="array" aca="1" ref="DF219" ca="1">MAX(_xlfn._xlws.FILTER(CQ219:DD219,CQ219:DD219&lt;BJ219))</f>
        <v>-2.7411316329522158E-2</v>
      </c>
      <c r="DG219" s="19" cm="1">
        <f t="array" aca="1" ref="DG219" ca="1">MIN(_xlfn._xlws.FILTER(CQ219:DD219,CQ219:DD219&gt;BJ219))</f>
        <v>-1.4511873350923495E-2</v>
      </c>
      <c r="DH219" s="2" cm="1">
        <f t="array" aca="1" ref="DH219" ca="1">_FV(EE219,"Fechamento anterior",TRUE)</f>
        <v>8.14</v>
      </c>
      <c r="DI219" s="36">
        <f t="shared" ca="1" si="251"/>
        <v>0.88692204601294833</v>
      </c>
      <c r="DJ219" s="18">
        <f t="shared" ca="1" si="274"/>
        <v>7.9168718850776898</v>
      </c>
      <c r="DK219" s="18">
        <f t="shared" ca="1" si="275"/>
        <v>8.0218733509234834</v>
      </c>
      <c r="DL219" s="9"/>
      <c r="DM219" s="9"/>
      <c r="DN219" s="9"/>
      <c r="DO219" s="9"/>
      <c r="DP219" s="79">
        <v>8.2445759368836337E-3</v>
      </c>
      <c r="DQ219" s="79">
        <v>1.4010390480978723E-2</v>
      </c>
      <c r="DR219" s="79">
        <v>2.3817663817663835E-2</v>
      </c>
      <c r="DS219" s="79">
        <f t="shared" ca="1" si="252"/>
        <v>1.2899442978598663E-2</v>
      </c>
      <c r="DT219" s="47"/>
      <c r="DU219" s="43">
        <f t="shared" si="253"/>
        <v>0.19575175605853418</v>
      </c>
      <c r="DV219" s="83">
        <f t="shared" ca="1" si="254"/>
        <v>2.5508999999999999</v>
      </c>
      <c r="DW219" s="83">
        <f t="shared" ca="1" si="255"/>
        <v>3.7218999999999998</v>
      </c>
      <c r="DX219" s="83">
        <f t="shared" ca="1" si="234"/>
        <v>-1.1709999999999998</v>
      </c>
      <c r="DY219" s="67"/>
      <c r="DZ219" s="67"/>
      <c r="EA219" s="85"/>
      <c r="EB219" s="44">
        <v>852400</v>
      </c>
      <c r="EC219" s="44" cm="1">
        <f t="array" aca="1" ref="EC219" ca="1">_FV(EE219,"Volume")</f>
        <v>420600</v>
      </c>
      <c r="EE219" s="2" t="e" vm="221">
        <v>#VALUE!</v>
      </c>
      <c r="EG219" s="10" cm="1">
        <f t="array" aca="1" ref="EG219" ca="1">_FV(EE219,"Ações em circulação",TRUE)</f>
        <v>499200000</v>
      </c>
      <c r="EH219" s="21">
        <f>VLOOKUP(BH219,Fundamentus!A:U,5,FALSE)</f>
        <v>0.42599999999999999</v>
      </c>
      <c r="EI219" s="2">
        <f t="shared" ca="1" si="256"/>
        <v>9386366197.1830997</v>
      </c>
      <c r="EJ219" s="20">
        <v>314179605.63380277</v>
      </c>
      <c r="EK219" s="20">
        <f t="shared" ca="1" si="257"/>
        <v>310688721.1267606</v>
      </c>
      <c r="EM219" s="40" t="str">
        <f>IF(VLOOKUP(BH219,Fundamentus!A:U,3,FALSE)&lt;15,"Bom",IF(VLOOKUP(BH219,Fundamentus!A:U,3,FALSE)&gt;15,"Ruim","n/a"))</f>
        <v>Bom</v>
      </c>
      <c r="EN219" s="36" t="str">
        <f>IF(VLOOKUP(BH219,Fundamentus!A:U,4,FALSE)&lt;1,"Baixo",IF(VLOOKUP(BH219,Fundamentus!A:U,4,FALSE)&lt;1.5,"Moderado",IF(VLOOKUP(BH219,Fundamentus!A:U,4,FALSE)&gt;1.5,"Alto","n/a")))</f>
        <v>Baixo</v>
      </c>
      <c r="EO219" s="20" t="str">
        <f>IF(VLOOKUP(BH219,Fundamentus!A:U,8,FALSE)&lt;0,"Risco elevado",IF(VLOOKUP(BH219,Fundamentus!A:U,8,FALSE)&lt;1,"Saudável",IF(VLOOKUP(BH219,Fundamentus!A:U,8,FALSE)&lt;3,"Estável",IF(VLOOKUP(BH219,Fundamentus!A:U,8,FALSE)&gt;3,"Alerta","n/a"))))</f>
        <v>Estável</v>
      </c>
      <c r="EP219" s="36" t="str">
        <f t="shared" si="258"/>
        <v>Ruim</v>
      </c>
      <c r="EQ219" s="20" t="str">
        <f>IF(VLOOKUP(BH219,Fundamentus!A:U,12,FALSE)&lt;2,"Subvalorizada",IF(VLOOKUP(BH219,Fundamentus!A:U,12,FALSE)&lt;6,"Muita barata",IF(VLOOKUP(BH219,Fundamentus!A:U,12,FALSE)&lt;6,"Barata",IF(VLOOKUP(BH219,Fundamentus!A:U,12,FALSE)&lt;8,"Atrativa",IF(VLOOKUP(BH219,Fundamentus!A:U,12,FALSE)&gt;8,"Supervalorizada","n/a")))))</f>
        <v>Muita barata</v>
      </c>
      <c r="ES219" s="20" t="str">
        <f>IF(VLOOKUP(BH219,Fundamentus!A:U,17,FALSE)&lt;0.1,"Fraco retorno",IF(VLOOKUP(BH219,Fundamentus!A:U,17,FALSE)&gt;0.1,"Bom retorno","n/a"))</f>
        <v>Fraco retorno</v>
      </c>
      <c r="ET219" s="20" t="str">
        <f>IF(VLOOKUP(BH219,Fundamentus!A:U,16,FALSE)&lt;0.1,"Ineficiente",IF(VLOOKUP(BH219,Fundamentus!A:U,16,FALSE)&gt;0.1,"Eficiente","n/a"))</f>
        <v>Ineficiente</v>
      </c>
      <c r="EU219" s="41" t="str">
        <f>IF(VLOOKUP(BH219,Fundamentus!A:U,16,FALSE)&lt;0.1,"Oper. Ineficiente",IF(VLOOKUP(BH219,Fundamentus!A:U,16,FALSE)&gt;0.1,"Oper.Eficiente","n/a"))</f>
        <v>Oper. Ineficiente</v>
      </c>
      <c r="EV219" s="42">
        <f>VLOOKUP(BH219,Fundamentus!A:U,14,FALSE)</f>
        <v>3.3099999999999997E-2</v>
      </c>
      <c r="EW219" s="20" t="str">
        <f>IF(VLOOKUP(BH219,Fundamentus!A:U,21,FALSE)&lt;0,"Negativo",IF(VLOOKUP(BH219,Fundamentus!A:U,21,FALSE)&lt;0.05,"Fraco",IF(VLOOKUP(BH219,Fundamentus!A:U,21,FALSE)&lt;0.1,"Bom",IF(VLOOKUP(BH219,Fundamentus!A:U,21,FALSE)&gt;0.1,"Muito bom","n/a"))))</f>
        <v>Muito bom</v>
      </c>
      <c r="EY219" s="37" t="str">
        <f>IF(VLOOKUP(BH219,Fundamentus!A:U,15,FALSE)&gt;1,"Bom",IF(VLOOKUP(BH219,Fundamentus!A:U,15,FALSE)&lt;1,"Ruim","n/a"))</f>
        <v>Bom</v>
      </c>
      <c r="EZ219" s="20" t="str">
        <f>IF(VLOOKUP(BH219,Fundamentus!A:U,20,FALSE)&lt;0.5,"Baixa",IF(VLOOKUP(BH219,Fundamentus!A:U,20,FALSE)&lt;1,"Moderada",IF(VLOOKUP(BH219,Fundamentus!A:U,20,FALSE)&lt;2,"Alerta",IF(VLOOKUP(BH219,Fundamentus!A:U,20,FALSE)&gt;2,"Alta","n/a"))))</f>
        <v>Baixa</v>
      </c>
    </row>
    <row r="220" spans="1:156" s="2" customFormat="1" ht="11.25" hidden="1" x14ac:dyDescent="0.2">
      <c r="A220" s="4">
        <v>0.76</v>
      </c>
      <c r="B220" s="4">
        <v>0.72</v>
      </c>
      <c r="C220" s="4">
        <v>0.62</v>
      </c>
      <c r="D220" s="4">
        <v>0.54</v>
      </c>
      <c r="E220" s="4">
        <v>0.46</v>
      </c>
      <c r="F220" s="4">
        <v>0.39</v>
      </c>
      <c r="G220" s="4">
        <v>0.36</v>
      </c>
      <c r="H220" s="4">
        <v>0.36</v>
      </c>
      <c r="I220" s="4">
        <v>0.37</v>
      </c>
      <c r="J220" s="4">
        <v>1.49</v>
      </c>
      <c r="K220" s="4">
        <v>1.98</v>
      </c>
      <c r="L220" s="4">
        <v>2.34</v>
      </c>
      <c r="M220" s="4">
        <v>2.2999999999999998</v>
      </c>
      <c r="N220" s="4">
        <v>1.96</v>
      </c>
      <c r="O220" s="4">
        <v>1.88</v>
      </c>
      <c r="P220" s="4">
        <v>1.64</v>
      </c>
      <c r="Q220" s="4">
        <v>1.64</v>
      </c>
      <c r="R220" s="4">
        <v>1.64</v>
      </c>
      <c r="S220" s="4">
        <v>1.64</v>
      </c>
      <c r="T220" s="4">
        <v>1.64</v>
      </c>
      <c r="U220" s="4">
        <v>1.64</v>
      </c>
      <c r="V220" s="4">
        <v>1.64</v>
      </c>
      <c r="W220" s="4">
        <v>1.64</v>
      </c>
      <c r="X220" s="4">
        <v>1.64</v>
      </c>
      <c r="Y220" s="4">
        <v>1.64</v>
      </c>
      <c r="Z220" s="4">
        <v>1.64</v>
      </c>
      <c r="AA220" s="4">
        <v>1.64</v>
      </c>
      <c r="AB220" s="4">
        <v>1.64</v>
      </c>
      <c r="AC220" s="4">
        <v>1.64</v>
      </c>
      <c r="AD220" s="4">
        <v>1.64</v>
      </c>
      <c r="AE220" s="4">
        <v>1.64</v>
      </c>
      <c r="AF220" s="4">
        <v>1.64</v>
      </c>
      <c r="AG220" s="4">
        <v>1.64</v>
      </c>
      <c r="AH220" s="4">
        <v>1.64</v>
      </c>
      <c r="AI220" s="4">
        <v>1.64</v>
      </c>
      <c r="AJ220" s="4">
        <v>1.64</v>
      </c>
      <c r="AK220" s="4">
        <v>1.64</v>
      </c>
      <c r="AL220" s="4">
        <v>1.64</v>
      </c>
      <c r="AM220" s="4">
        <v>1.64</v>
      </c>
      <c r="AN220" s="4">
        <v>1.64</v>
      </c>
      <c r="AO220" s="4">
        <v>1.64</v>
      </c>
      <c r="AP220" s="4">
        <v>1.64</v>
      </c>
      <c r="AQ220" s="4">
        <v>1.64</v>
      </c>
      <c r="AR220" s="4">
        <v>1.64</v>
      </c>
      <c r="AS220" s="4">
        <v>1.64</v>
      </c>
      <c r="AT220" s="4">
        <v>1.64</v>
      </c>
      <c r="AU220" s="4">
        <v>1.64</v>
      </c>
      <c r="AV220" s="4">
        <v>1.64</v>
      </c>
      <c r="AW220" s="4">
        <v>1.64</v>
      </c>
      <c r="AX220" s="4">
        <v>1.64</v>
      </c>
      <c r="AY220" s="12">
        <v>1.64</v>
      </c>
      <c r="AZ220" s="12">
        <v>1.64</v>
      </c>
      <c r="BA220" s="12">
        <v>1.64</v>
      </c>
      <c r="BB220" s="18">
        <v>1.64</v>
      </c>
      <c r="BC220" s="63">
        <v>1.64</v>
      </c>
      <c r="BD220" s="63">
        <v>1.64</v>
      </c>
      <c r="BE220" s="63">
        <v>1.64</v>
      </c>
      <c r="BF220" s="63">
        <v>1.64</v>
      </c>
      <c r="BG220" s="91" cm="1">
        <f t="array" aca="1" ref="BG220" ca="1">_FV(EE220,"Preço")</f>
        <v>1.64</v>
      </c>
      <c r="BH220" s="93" t="s">
        <v>217</v>
      </c>
      <c r="BI220" s="32" cm="1">
        <f t="array" aca="1" ref="BI220" ca="1">_FV(EE220,"Beta")</f>
        <v>1.9915</v>
      </c>
      <c r="BJ220" s="96" cm="1">
        <f t="array" aca="1" ref="BJ220" ca="1">_FV(EE220,"Variação (%)",TRUE)</f>
        <v>-6.2856999999999996E-2</v>
      </c>
      <c r="BK220" s="49"/>
      <c r="BL220" s="49"/>
      <c r="BN220" s="32"/>
      <c r="BO220" s="20" cm="1">
        <f t="array" aca="1" ref="BO220" ca="1">_FV(EE220,"Baixo")</f>
        <v>1.64</v>
      </c>
      <c r="BP220" s="20" cm="1">
        <f t="array" aca="1" ref="BP220" ca="1">_FV(EE220,"Alto")</f>
        <v>1.64</v>
      </c>
      <c r="BQ220" s="32"/>
      <c r="BR220" s="74" t="e">
        <f ca="1">SQRT(22.5*(BG220/VLOOKUP(BH220,Fundamentus!A:U,3,FALSE))*(BG220/VLOOKUP(BH220,Fundamentus!A:U,4,FALSE)))</f>
        <v>#N/A</v>
      </c>
      <c r="BT220" s="73">
        <f t="shared" ca="1" si="235"/>
        <v>0</v>
      </c>
      <c r="BU220" s="36">
        <f t="shared" si="236"/>
        <v>1.1578947368421051</v>
      </c>
      <c r="BV220" s="8"/>
      <c r="BW220" s="72">
        <f t="shared" si="237"/>
        <v>0.36</v>
      </c>
      <c r="BX220" s="72">
        <f t="shared" si="238"/>
        <v>1.5008620689655177</v>
      </c>
      <c r="BY220" s="72">
        <f t="shared" si="239"/>
        <v>2.34</v>
      </c>
      <c r="BZ220" s="17"/>
      <c r="CA220" s="17"/>
      <c r="CB220" s="43">
        <f t="shared" si="240"/>
        <v>1.64</v>
      </c>
      <c r="CC220" s="18">
        <f t="shared" si="241"/>
        <v>1.64</v>
      </c>
      <c r="CD220" s="43">
        <f t="shared" si="242"/>
        <v>1.64</v>
      </c>
      <c r="CE220" s="98" t="e">
        <f t="shared" ca="1" si="243"/>
        <v>#DIV/0!</v>
      </c>
      <c r="CF220" s="17"/>
      <c r="CG220" s="20">
        <f t="shared" si="244"/>
        <v>-1.4266666666666667</v>
      </c>
      <c r="CH220" s="20">
        <f t="shared" si="245"/>
        <v>-0.53333333333333344</v>
      </c>
      <c r="CI220" s="20">
        <f t="shared" si="246"/>
        <v>0.55333333333333323</v>
      </c>
      <c r="CJ220" s="49">
        <f t="shared" si="247"/>
        <v>1.4466666666666665</v>
      </c>
      <c r="CK220" s="20">
        <f t="shared" si="248"/>
        <v>2.5333333333333332</v>
      </c>
      <c r="CL220" s="20">
        <f t="shared" si="249"/>
        <v>3.4266666666666667</v>
      </c>
      <c r="CM220" s="20">
        <f t="shared" si="250"/>
        <v>4.5133333333333328</v>
      </c>
      <c r="CN220" s="2" cm="1">
        <f t="array" aca="1" ref="CN220" ca="1">MAX(_xlfn._xlws.FILTER(CG220:CM220,CG220:CM220&lt;BG220))</f>
        <v>1.4466666666666665</v>
      </c>
      <c r="CO220" s="2" cm="1">
        <f t="array" aca="1" ref="CO220" ca="1">MIN(_xlfn._xlws.FILTER($CG220:$CM220,$CG220:$CM220&gt;BG220))</f>
        <v>2.5333333333333332</v>
      </c>
      <c r="CP220" s="19">
        <f t="shared" ca="1" si="259"/>
        <v>0.75115207373271886</v>
      </c>
      <c r="CQ220" s="23">
        <f t="shared" ca="1" si="260"/>
        <v>-0.37557603686635943</v>
      </c>
      <c r="CR220" s="23">
        <f t="shared" ca="1" si="261"/>
        <v>-0.25038402457757297</v>
      </c>
      <c r="CS220" s="23">
        <f t="shared" ca="1" si="262"/>
        <v>-0.15023041474654378</v>
      </c>
      <c r="CT220" s="23">
        <f t="shared" ca="1" si="263"/>
        <v>-8.3461341525857657E-2</v>
      </c>
      <c r="CU220" s="23">
        <f t="shared" ca="1" si="264"/>
        <v>-4.4185416101924641E-2</v>
      </c>
      <c r="CV220" s="23">
        <f t="shared" ca="1" si="265"/>
        <v>-2.2762184052506632E-2</v>
      </c>
      <c r="CW220" s="23">
        <f t="shared" ca="1" si="266"/>
        <v>-1.1556185749734136E-2</v>
      </c>
      <c r="CX220" s="24">
        <f t="shared" ca="1" si="267"/>
        <v>1.1556185749734136E-2</v>
      </c>
      <c r="CY220" s="24">
        <f t="shared" ca="1" si="268"/>
        <v>2.2762184052506632E-2</v>
      </c>
      <c r="CZ220" s="24">
        <f t="shared" ca="1" si="269"/>
        <v>4.4185416101924641E-2</v>
      </c>
      <c r="DA220" s="24">
        <f t="shared" ca="1" si="270"/>
        <v>8.3461341525857657E-2</v>
      </c>
      <c r="DB220" s="24">
        <f t="shared" ca="1" si="271"/>
        <v>0.15023041474654378</v>
      </c>
      <c r="DC220" s="24">
        <f t="shared" ca="1" si="272"/>
        <v>0.25038402457757297</v>
      </c>
      <c r="DD220" s="24">
        <f t="shared" ca="1" si="273"/>
        <v>0.37557603686635943</v>
      </c>
      <c r="DF220" s="19" cm="1">
        <f t="array" aca="1" ref="DF220" ca="1">MAX(_xlfn._xlws.FILTER(CQ220:DD220,CQ220:DD220&lt;BJ220))</f>
        <v>-8.3461341525857657E-2</v>
      </c>
      <c r="DG220" s="19" cm="1">
        <f t="array" aca="1" ref="DG220" ca="1">MIN(_xlfn._xlws.FILTER(CQ220:DD220,CQ220:DD220&gt;BJ220))</f>
        <v>-4.4185416101924641E-2</v>
      </c>
      <c r="DH220" s="2" cm="1">
        <f t="array" aca="1" ref="DH220" ca="1">_FV(EE220,"Fechamento anterior",TRUE)</f>
        <v>1.75</v>
      </c>
      <c r="DI220" s="36">
        <f t="shared" ca="1" si="251"/>
        <v>0.52460122699386424</v>
      </c>
      <c r="DJ220" s="18">
        <f t="shared" ca="1" si="274"/>
        <v>1.6039426523297491</v>
      </c>
      <c r="DK220" s="18">
        <f t="shared" ca="1" si="275"/>
        <v>1.6726755218216318</v>
      </c>
      <c r="DL220" s="9"/>
      <c r="DM220" s="9"/>
      <c r="DN220" s="9"/>
      <c r="DO220" s="9"/>
      <c r="DP220" s="79">
        <v>3.596660244059089E-2</v>
      </c>
      <c r="DQ220" s="79">
        <v>3.596660244059089E-2</v>
      </c>
      <c r="DR220" s="79">
        <v>3.596660244059089E-2</v>
      </c>
      <c r="DS220" s="79">
        <f t="shared" ca="1" si="252"/>
        <v>3.9275925423933017E-2</v>
      </c>
      <c r="DT220" s="47"/>
      <c r="DU220" s="43">
        <f t="shared" si="253"/>
        <v>0</v>
      </c>
      <c r="DV220" s="83">
        <f t="shared" ca="1" si="254"/>
        <v>2.4176000000000002</v>
      </c>
      <c r="DW220" s="83">
        <f t="shared" ca="1" si="255"/>
        <v>8.2771999999999988</v>
      </c>
      <c r="DX220" s="83">
        <f t="shared" ca="1" si="234"/>
        <v>-5.8595999999999986</v>
      </c>
      <c r="DY220" s="67"/>
      <c r="DZ220" s="67"/>
      <c r="EA220" s="85"/>
      <c r="EB220" s="44">
        <v>19800</v>
      </c>
      <c r="EC220" s="44" cm="1">
        <f t="array" aca="1" ref="EC220" ca="1">_FV(EE220,"Volume")</f>
        <v>19800</v>
      </c>
      <c r="EE220" s="2" t="e" vm="222">
        <v>#VALUE!</v>
      </c>
      <c r="EG220" s="10" cm="1">
        <f t="array" aca="1" ref="EG220" ca="1">_FV(EE220,"Ações em circulação",TRUE)</f>
        <v>10000000</v>
      </c>
      <c r="EH220" s="21" t="e">
        <f>VLOOKUP(BH220,Fundamentus!A:U,5,FALSE)</f>
        <v>#N/A</v>
      </c>
      <c r="EI220" s="2" t="e">
        <f t="shared" ca="1" si="256"/>
        <v>#N/A</v>
      </c>
      <c r="EJ220" s="20" t="e">
        <v>#N/A</v>
      </c>
      <c r="EK220" s="20" t="e">
        <f t="shared" ca="1" si="257"/>
        <v>#N/A</v>
      </c>
      <c r="EM220" s="40" t="e">
        <f>IF(VLOOKUP(BH220,Fundamentus!A:U,3,FALSE)&lt;15,"Bom",IF(VLOOKUP(BH220,Fundamentus!A:U,3,FALSE)&gt;15,"Ruim","n/a"))</f>
        <v>#N/A</v>
      </c>
      <c r="EN220" s="36" t="e">
        <f>IF(VLOOKUP(BH220,Fundamentus!A:U,4,FALSE)&lt;1,"Baixo",IF(VLOOKUP(BH220,Fundamentus!A:U,4,FALSE)&lt;1.5,"Moderado",IF(VLOOKUP(BH220,Fundamentus!A:U,4,FALSE)&gt;1.5,"Alto","n/a")))</f>
        <v>#N/A</v>
      </c>
      <c r="EO220" s="20" t="e">
        <f>IF(VLOOKUP(BH220,Fundamentus!A:U,8,FALSE)&lt;0,"Risco elevado",IF(VLOOKUP(BH220,Fundamentus!A:U,8,FALSE)&lt;1,"Saudável",IF(VLOOKUP(BH220,Fundamentus!A:U,8,FALSE)&lt;3,"Estável",IF(VLOOKUP(BH220,Fundamentus!A:U,8,FALSE)&gt;3,"Alerta","n/a"))))</f>
        <v>#N/A</v>
      </c>
      <c r="EP220" s="36" t="e">
        <f t="shared" si="258"/>
        <v>#N/A</v>
      </c>
      <c r="EQ220" s="20" t="e">
        <f>IF(VLOOKUP(BH220,Fundamentus!A:U,12,FALSE)&lt;2,"Subvalorizada",IF(VLOOKUP(BH220,Fundamentus!A:U,12,FALSE)&lt;6,"Muita barata",IF(VLOOKUP(BH220,Fundamentus!A:U,12,FALSE)&lt;6,"Barata",IF(VLOOKUP(BH220,Fundamentus!A:U,12,FALSE)&lt;8,"Atrativa",IF(VLOOKUP(BH220,Fundamentus!A:U,12,FALSE)&gt;8,"Supervalorizada","n/a")))))</f>
        <v>#N/A</v>
      </c>
      <c r="ES220" s="20" t="e">
        <f>IF(VLOOKUP(BH220,Fundamentus!A:U,17,FALSE)&lt;0.1,"Fraco retorno",IF(VLOOKUP(BH220,Fundamentus!A:U,17,FALSE)&gt;0.1,"Bom retorno","n/a"))</f>
        <v>#N/A</v>
      </c>
      <c r="ET220" s="20" t="e">
        <f>IF(VLOOKUP(BH220,Fundamentus!A:U,16,FALSE)&lt;0.1,"Ineficiente",IF(VLOOKUP(BH220,Fundamentus!A:U,16,FALSE)&gt;0.1,"Eficiente","n/a"))</f>
        <v>#N/A</v>
      </c>
      <c r="EU220" s="41" t="e">
        <f>IF(VLOOKUP(BH220,Fundamentus!A:U,16,FALSE)&lt;0.1,"Oper. Ineficiente",IF(VLOOKUP(BH220,Fundamentus!A:U,16,FALSE)&gt;0.1,"Oper.Eficiente","n/a"))</f>
        <v>#N/A</v>
      </c>
      <c r="EV220" s="42" t="e">
        <f>VLOOKUP(BH220,Fundamentus!A:U,14,FALSE)</f>
        <v>#N/A</v>
      </c>
      <c r="EW220" s="20" t="e">
        <f>IF(VLOOKUP(BH220,Fundamentus!A:U,21,FALSE)&lt;0,"Negativo",IF(VLOOKUP(BH220,Fundamentus!A:U,21,FALSE)&lt;0.05,"Fraco",IF(VLOOKUP(BH220,Fundamentus!A:U,21,FALSE)&lt;0.1,"Bom",IF(VLOOKUP(BH220,Fundamentus!A:U,21,FALSE)&gt;0.1,"Muito bom","n/a"))))</f>
        <v>#N/A</v>
      </c>
      <c r="EY220" s="37" t="e">
        <f>IF(VLOOKUP(BH220,Fundamentus!A:U,15,FALSE)&gt;1,"Bom",IF(VLOOKUP(BH220,Fundamentus!A:U,15,FALSE)&lt;1,"Ruim","n/a"))</f>
        <v>#N/A</v>
      </c>
      <c r="EZ220" s="20" t="e">
        <f>IF(VLOOKUP(BH220,Fundamentus!A:U,20,FALSE)&lt;0.5,"Baixa",IF(VLOOKUP(BH220,Fundamentus!A:U,20,FALSE)&lt;1,"Moderada",IF(VLOOKUP(BH220,Fundamentus!A:U,20,FALSE)&lt;2,"Alerta",IF(VLOOKUP(BH220,Fundamentus!A:U,20,FALSE)&gt;2,"Alta","n/a"))))</f>
        <v>#N/A</v>
      </c>
    </row>
    <row r="221" spans="1:156" s="2" customFormat="1" ht="11.25" hidden="1" x14ac:dyDescent="0.2">
      <c r="A221" s="4">
        <v>2.2999999999999998</v>
      </c>
      <c r="B221" s="4">
        <v>2.17</v>
      </c>
      <c r="C221" s="4">
        <v>2.04</v>
      </c>
      <c r="D221" s="4">
        <v>1.95</v>
      </c>
      <c r="E221" s="4">
        <v>1.85</v>
      </c>
      <c r="F221" s="4">
        <v>1.8</v>
      </c>
      <c r="G221" s="4">
        <v>1.67</v>
      </c>
      <c r="H221" s="4">
        <v>1.74</v>
      </c>
      <c r="I221" s="4">
        <v>1.79</v>
      </c>
      <c r="J221" s="4">
        <v>1.87</v>
      </c>
      <c r="K221" s="4">
        <v>1.89</v>
      </c>
      <c r="L221" s="4">
        <v>1.67</v>
      </c>
      <c r="M221" s="4">
        <v>1.58</v>
      </c>
      <c r="N221" s="4">
        <v>1.5</v>
      </c>
      <c r="O221" s="4">
        <v>1.52</v>
      </c>
      <c r="P221" s="4">
        <v>1.34</v>
      </c>
      <c r="Q221" s="4">
        <v>1.43</v>
      </c>
      <c r="R221" s="4">
        <v>1.37</v>
      </c>
      <c r="S221" s="4">
        <v>1.39</v>
      </c>
      <c r="T221" s="4">
        <v>1.47</v>
      </c>
      <c r="U221" s="4">
        <v>1.32</v>
      </c>
      <c r="V221" s="4">
        <v>1.33</v>
      </c>
      <c r="W221" s="4">
        <v>1.26</v>
      </c>
      <c r="X221" s="4">
        <v>1.33</v>
      </c>
      <c r="Y221" s="4">
        <v>1.37</v>
      </c>
      <c r="Z221" s="4">
        <v>1.43</v>
      </c>
      <c r="AA221" s="4">
        <v>1.36</v>
      </c>
      <c r="AB221" s="4">
        <v>1.36</v>
      </c>
      <c r="AC221" s="4">
        <v>1.35</v>
      </c>
      <c r="AD221" s="4">
        <v>1.39</v>
      </c>
      <c r="AE221" s="4">
        <v>1.29</v>
      </c>
      <c r="AF221" s="4">
        <v>1.2</v>
      </c>
      <c r="AG221" s="4">
        <v>1.1200000000000001</v>
      </c>
      <c r="AH221" s="4">
        <v>1.07</v>
      </c>
      <c r="AI221" s="4">
        <v>1.06</v>
      </c>
      <c r="AJ221" s="4">
        <v>1.08</v>
      </c>
      <c r="AK221" s="4">
        <v>1.18</v>
      </c>
      <c r="AL221" s="4">
        <v>1.25</v>
      </c>
      <c r="AM221" s="4">
        <v>1.37</v>
      </c>
      <c r="AN221" s="4">
        <v>1.41</v>
      </c>
      <c r="AO221" s="4">
        <v>1.52</v>
      </c>
      <c r="AP221" s="4">
        <v>1.7</v>
      </c>
      <c r="AQ221" s="4">
        <v>1.7</v>
      </c>
      <c r="AR221" s="4">
        <v>1.52</v>
      </c>
      <c r="AS221" s="4">
        <v>1.65</v>
      </c>
      <c r="AT221" s="4">
        <v>1.75</v>
      </c>
      <c r="AU221" s="4">
        <v>1.875</v>
      </c>
      <c r="AV221" s="4">
        <v>2.12</v>
      </c>
      <c r="AW221" s="4">
        <v>2.06</v>
      </c>
      <c r="AX221" s="4">
        <v>2.25</v>
      </c>
      <c r="AY221" s="12">
        <v>2.4500000000000002</v>
      </c>
      <c r="AZ221" s="12">
        <v>2.5</v>
      </c>
      <c r="BA221" s="12">
        <v>2.58</v>
      </c>
      <c r="BB221" s="18">
        <v>3.03</v>
      </c>
      <c r="BC221" s="63">
        <v>3.11</v>
      </c>
      <c r="BD221" s="63">
        <v>2.9</v>
      </c>
      <c r="BE221" s="63">
        <v>2.97</v>
      </c>
      <c r="BF221" s="63">
        <v>2.91</v>
      </c>
      <c r="BG221" s="91" cm="1">
        <f t="array" aca="1" ref="BG221" ca="1">_FV(EE221,"Preço")</f>
        <v>2.79</v>
      </c>
      <c r="BH221" s="93" t="s">
        <v>218</v>
      </c>
      <c r="BI221" s="32" cm="1">
        <f t="array" aca="1" ref="BI221" ca="1">_FV(EE221,"Beta")</f>
        <v>1.9965999999999999</v>
      </c>
      <c r="BJ221" s="96" cm="1">
        <f t="array" aca="1" ref="BJ221" ca="1">_FV(EE221,"Variação (%)",TRUE)</f>
        <v>-3.125E-2</v>
      </c>
      <c r="BK221" s="49"/>
      <c r="BL221" s="49"/>
      <c r="BN221" s="32"/>
      <c r="BO221" s="20" cm="1">
        <f t="array" aca="1" ref="BO221" ca="1">_FV(EE221,"Baixo")</f>
        <v>2.75</v>
      </c>
      <c r="BP221" s="20" cm="1">
        <f t="array" aca="1" ref="BP221" ca="1">_FV(EE221,"Alto")</f>
        <v>2.85</v>
      </c>
      <c r="BQ221" s="32"/>
      <c r="BR221" s="74">
        <f ca="1">SQRT(22.5*(BG221/VLOOKUP(BH221,Fundamentus!A:U,3,FALSE))*(BG221/VLOOKUP(BH221,Fundamentus!A:U,4,FALSE)))</f>
        <v>8.1161978857687309</v>
      </c>
      <c r="BT221" s="73">
        <f t="shared" ca="1" si="235"/>
        <v>-4.123711340206189E-2</v>
      </c>
      <c r="BU221" s="36">
        <f t="shared" si="236"/>
        <v>0.29130434782608716</v>
      </c>
      <c r="BV221" s="8"/>
      <c r="BW221" s="72">
        <f t="shared" si="237"/>
        <v>1.06</v>
      </c>
      <c r="BX221" s="72">
        <f t="shared" si="238"/>
        <v>1.7321551724137931</v>
      </c>
      <c r="BY221" s="72">
        <f t="shared" si="239"/>
        <v>3.11</v>
      </c>
      <c r="BZ221" s="17"/>
      <c r="CA221" s="17"/>
      <c r="CB221" s="43">
        <f t="shared" si="240"/>
        <v>2.6723596905578186</v>
      </c>
      <c r="CC221" s="18">
        <f t="shared" si="241"/>
        <v>2.8399156513589787</v>
      </c>
      <c r="CD221" s="43">
        <f t="shared" si="242"/>
        <v>3.0074716121601388</v>
      </c>
      <c r="CE221" s="98">
        <f t="shared" ca="1" si="243"/>
        <v>-0.297904360551004</v>
      </c>
      <c r="CF221" s="17"/>
      <c r="CG221" s="20">
        <f t="shared" si="244"/>
        <v>-0.43999999999999995</v>
      </c>
      <c r="CH221" s="20">
        <f t="shared" si="245"/>
        <v>0.31000000000000005</v>
      </c>
      <c r="CI221" s="20">
        <f t="shared" si="246"/>
        <v>1.6099999999999999</v>
      </c>
      <c r="CJ221" s="49">
        <f t="shared" si="247"/>
        <v>2.36</v>
      </c>
      <c r="CK221" s="20">
        <f t="shared" si="248"/>
        <v>3.6599999999999997</v>
      </c>
      <c r="CL221" s="20">
        <f t="shared" si="249"/>
        <v>4.41</v>
      </c>
      <c r="CM221" s="20">
        <f t="shared" si="250"/>
        <v>5.7099999999999991</v>
      </c>
      <c r="CN221" s="2" cm="1">
        <f t="array" aca="1" ref="CN221" ca="1">MAX(_xlfn._xlws.FILTER(CG221:CM221,CG221:CM221&lt;BG221))</f>
        <v>2.36</v>
      </c>
      <c r="CO221" s="2" cm="1">
        <f t="array" aca="1" ref="CO221" ca="1">MIN(_xlfn._xlws.FILTER($CG221:$CM221,$CG221:$CM221&gt;BG221))</f>
        <v>3.6599999999999997</v>
      </c>
      <c r="CP221" s="19">
        <f t="shared" ca="1" si="259"/>
        <v>0.55084745762711851</v>
      </c>
      <c r="CQ221" s="23">
        <f t="shared" ca="1" si="260"/>
        <v>-0.27542372881355925</v>
      </c>
      <c r="CR221" s="23">
        <f t="shared" ca="1" si="261"/>
        <v>-0.18361581920903949</v>
      </c>
      <c r="CS221" s="23">
        <f t="shared" ca="1" si="262"/>
        <v>-0.1101694915254237</v>
      </c>
      <c r="CT221" s="23">
        <f t="shared" ca="1" si="263"/>
        <v>-6.1205273069679836E-2</v>
      </c>
      <c r="CU221" s="23">
        <f t="shared" ca="1" si="264"/>
        <v>-3.2402791625124619E-2</v>
      </c>
      <c r="CV221" s="23">
        <f t="shared" ca="1" si="265"/>
        <v>-1.6692347200821772E-2</v>
      </c>
      <c r="CW221" s="23">
        <f t="shared" ca="1" si="266"/>
        <v>-8.4745762711864389E-3</v>
      </c>
      <c r="CX221" s="24">
        <f t="shared" ca="1" si="267"/>
        <v>8.4745762711864389E-3</v>
      </c>
      <c r="CY221" s="24">
        <f t="shared" ca="1" si="268"/>
        <v>1.6692347200821772E-2</v>
      </c>
      <c r="CZ221" s="24">
        <f t="shared" ca="1" si="269"/>
        <v>3.2402791625124619E-2</v>
      </c>
      <c r="DA221" s="24">
        <f t="shared" ca="1" si="270"/>
        <v>6.1205273069679836E-2</v>
      </c>
      <c r="DB221" s="24">
        <f t="shared" ca="1" si="271"/>
        <v>0.1101694915254237</v>
      </c>
      <c r="DC221" s="24">
        <f t="shared" ca="1" si="272"/>
        <v>0.18361581920903949</v>
      </c>
      <c r="DD221" s="24">
        <f t="shared" ca="1" si="273"/>
        <v>0.27542372881355925</v>
      </c>
      <c r="DF221" s="19" cm="1">
        <f t="array" aca="1" ref="DF221" ca="1">MAX(_xlfn._xlws.FILTER(CQ221:DD221,CQ221:DD221&lt;BJ221))</f>
        <v>-3.2402791625124619E-2</v>
      </c>
      <c r="DG221" s="19" cm="1">
        <f t="array" aca="1" ref="DG221" ca="1">MIN(_xlfn._xlws.FILTER(CQ221:DD221,CQ221:DD221&gt;BJ221))</f>
        <v>-1.6692347200821772E-2</v>
      </c>
      <c r="DH221" s="2" cm="1">
        <f t="array" aca="1" ref="DH221" ca="1">_FV(EE221,"Fechamento anterior",TRUE)</f>
        <v>2.88</v>
      </c>
      <c r="DI221" s="36">
        <f t="shared" ca="1" si="251"/>
        <v>7.337740384615557E-2</v>
      </c>
      <c r="DJ221" s="18">
        <f t="shared" ca="1" si="274"/>
        <v>2.786679960119641</v>
      </c>
      <c r="DK221" s="18">
        <f t="shared" ca="1" si="275"/>
        <v>2.8319260400616333</v>
      </c>
      <c r="DL221" s="9"/>
      <c r="DM221" s="9"/>
      <c r="DN221" s="9"/>
      <c r="DO221" s="9"/>
      <c r="DP221" s="79">
        <v>2.658827570183148E-2</v>
      </c>
      <c r="DQ221" s="79">
        <v>1.4502695837362625E-2</v>
      </c>
      <c r="DR221" s="79">
        <v>2.658827570183148E-2</v>
      </c>
      <c r="DS221" s="79">
        <f t="shared" ca="1" si="252"/>
        <v>1.5710444424302847E-2</v>
      </c>
      <c r="DT221" s="47"/>
      <c r="DU221" s="43">
        <f t="shared" si="253"/>
        <v>8.377798040058014E-2</v>
      </c>
      <c r="DV221" s="83">
        <f t="shared" ca="1" si="254"/>
        <v>2.4226999999999999</v>
      </c>
      <c r="DW221" s="83">
        <f t="shared" ca="1" si="255"/>
        <v>5.1215999999999999</v>
      </c>
      <c r="DX221" s="83">
        <f t="shared" ca="1" si="234"/>
        <v>-2.6989000000000001</v>
      </c>
      <c r="DY221" s="67"/>
      <c r="DZ221" s="67"/>
      <c r="EA221" s="85"/>
      <c r="EB221" s="44">
        <v>55838300</v>
      </c>
      <c r="EC221" s="44" cm="1">
        <f t="array" aca="1" ref="EC221" ca="1">_FV(EE221,"Volume")</f>
        <v>50240600</v>
      </c>
      <c r="EE221" s="2" t="e" vm="223">
        <v>#VALUE!</v>
      </c>
      <c r="EG221" s="10" cm="1">
        <f t="array" aca="1" ref="EG221" ca="1">_FV(EE221,"Ações em circulação",TRUE)</f>
        <v>1876606000</v>
      </c>
      <c r="EH221" s="21">
        <f>VLOOKUP(BH221,Fundamentus!A:U,5,FALSE)</f>
        <v>0.875</v>
      </c>
      <c r="EI221" s="2">
        <f t="shared" ca="1" si="256"/>
        <v>5983692274.2857141</v>
      </c>
      <c r="EJ221" s="20">
        <v>1046000882.1668571</v>
      </c>
      <c r="EK221" s="20">
        <f t="shared" ca="1" si="257"/>
        <v>1002866825.1702857</v>
      </c>
      <c r="EM221" s="40" t="str">
        <f>IF(VLOOKUP(BH221,Fundamentus!A:U,3,FALSE)&lt;15,"Bom",IF(VLOOKUP(BH221,Fundamentus!A:U,3,FALSE)&gt;15,"Ruim","n/a"))</f>
        <v>Bom</v>
      </c>
      <c r="EN221" s="36" t="str">
        <f>IF(VLOOKUP(BH221,Fundamentus!A:U,4,FALSE)&lt;1,"Baixo",IF(VLOOKUP(BH221,Fundamentus!A:U,4,FALSE)&lt;1.5,"Moderado",IF(VLOOKUP(BH221,Fundamentus!A:U,4,FALSE)&gt;1.5,"Alto","n/a")))</f>
        <v>Baixo</v>
      </c>
      <c r="EO221" s="20" t="str">
        <f>IF(VLOOKUP(BH221,Fundamentus!A:U,8,FALSE)&lt;0,"Risco elevado",IF(VLOOKUP(BH221,Fundamentus!A:U,8,FALSE)&lt;1,"Saudável",IF(VLOOKUP(BH221,Fundamentus!A:U,8,FALSE)&lt;3,"Estável",IF(VLOOKUP(BH221,Fundamentus!A:U,8,FALSE)&gt;3,"Alerta","n/a"))))</f>
        <v>Alerta</v>
      </c>
      <c r="EP221" s="36" t="str">
        <f t="shared" si="258"/>
        <v>Ruim</v>
      </c>
      <c r="EQ221" s="20" t="str">
        <f>IF(VLOOKUP(BH221,Fundamentus!A:U,12,FALSE)&lt;2,"Subvalorizada",IF(VLOOKUP(BH221,Fundamentus!A:U,12,FALSE)&lt;6,"Muita barata",IF(VLOOKUP(BH221,Fundamentus!A:U,12,FALSE)&lt;6,"Barata",IF(VLOOKUP(BH221,Fundamentus!A:U,12,FALSE)&lt;8,"Atrativa",IF(VLOOKUP(BH221,Fundamentus!A:U,12,FALSE)&gt;8,"Supervalorizada","n/a")))))</f>
        <v>Muita barata</v>
      </c>
      <c r="ES221" s="20" t="str">
        <f>IF(VLOOKUP(BH221,Fundamentus!A:U,17,FALSE)&lt;0.1,"Fraco retorno",IF(VLOOKUP(BH221,Fundamentus!A:U,17,FALSE)&gt;0.1,"Bom retorno","n/a"))</f>
        <v>Fraco retorno</v>
      </c>
      <c r="ET221" s="20" t="str">
        <f>IF(VLOOKUP(BH221,Fundamentus!A:U,16,FALSE)&lt;0.1,"Ineficiente",IF(VLOOKUP(BH221,Fundamentus!A:U,16,FALSE)&gt;0.1,"Eficiente","n/a"))</f>
        <v>Ineficiente</v>
      </c>
      <c r="EU221" s="41" t="str">
        <f>IF(VLOOKUP(BH221,Fundamentus!A:U,16,FALSE)&lt;0.1,"Oper. Ineficiente",IF(VLOOKUP(BH221,Fundamentus!A:U,16,FALSE)&gt;0.1,"Oper.Eficiente","n/a"))</f>
        <v>Oper. Ineficiente</v>
      </c>
      <c r="EV221" s="42">
        <f>VLOOKUP(BH221,Fundamentus!A:U,14,FALSE)</f>
        <v>0.1676</v>
      </c>
      <c r="EW221" s="20" t="str">
        <f>IF(VLOOKUP(BH221,Fundamentus!A:U,21,FALSE)&lt;0,"Negativo",IF(VLOOKUP(BH221,Fundamentus!A:U,21,FALSE)&lt;0.05,"Fraco",IF(VLOOKUP(BH221,Fundamentus!A:U,21,FALSE)&lt;0.1,"Bom",IF(VLOOKUP(BH221,Fundamentus!A:U,21,FALSE)&gt;0.1,"Muito bom","n/a"))))</f>
        <v>Bom</v>
      </c>
      <c r="EY221" s="37" t="str">
        <f>IF(VLOOKUP(BH221,Fundamentus!A:U,15,FALSE)&gt;1,"Bom",IF(VLOOKUP(BH221,Fundamentus!A:U,15,FALSE)&lt;1,"Ruim","n/a"))</f>
        <v>Bom</v>
      </c>
      <c r="EZ221" s="20" t="str">
        <f>IF(VLOOKUP(BH221,Fundamentus!A:U,20,FALSE)&lt;0.5,"Baixa",IF(VLOOKUP(BH221,Fundamentus!A:U,20,FALSE)&lt;1,"Moderada",IF(VLOOKUP(BH221,Fundamentus!A:U,20,FALSE)&lt;2,"Alerta",IF(VLOOKUP(BH221,Fundamentus!A:U,20,FALSE)&gt;2,"Alta","n/a"))))</f>
        <v>Moderada</v>
      </c>
    </row>
    <row r="222" spans="1:156" s="2" customFormat="1" ht="11.25" hidden="1" x14ac:dyDescent="0.2">
      <c r="A222" s="4">
        <v>1.88</v>
      </c>
      <c r="B222" s="4">
        <v>1.89</v>
      </c>
      <c r="C222" s="4">
        <v>1.8</v>
      </c>
      <c r="D222" s="4">
        <v>1.78</v>
      </c>
      <c r="E222" s="4">
        <v>1.72</v>
      </c>
      <c r="F222" s="4">
        <v>1.66</v>
      </c>
      <c r="G222" s="4">
        <v>1.56</v>
      </c>
      <c r="H222" s="4">
        <v>12.6</v>
      </c>
      <c r="I222" s="4">
        <v>13.46</v>
      </c>
      <c r="J222" s="4">
        <v>15.38</v>
      </c>
      <c r="K222" s="4">
        <v>15.05</v>
      </c>
      <c r="L222" s="4">
        <v>12.41</v>
      </c>
      <c r="M222" s="4">
        <v>12.78</v>
      </c>
      <c r="N222" s="4">
        <v>12.29</v>
      </c>
      <c r="O222" s="4">
        <v>12.26</v>
      </c>
      <c r="P222" s="4">
        <v>12.4</v>
      </c>
      <c r="Q222" s="4">
        <v>12.54</v>
      </c>
      <c r="R222" s="4">
        <v>12.05</v>
      </c>
      <c r="S222" s="4">
        <v>11.93</v>
      </c>
      <c r="T222" s="4">
        <v>11.32</v>
      </c>
      <c r="U222" s="4">
        <v>11.5</v>
      </c>
      <c r="V222" s="4">
        <v>11.35</v>
      </c>
      <c r="W222" s="4">
        <v>11.26</v>
      </c>
      <c r="X222" s="4">
        <v>11.08</v>
      </c>
      <c r="Y222" s="4">
        <v>9.9600000000000009</v>
      </c>
      <c r="Z222" s="4">
        <v>10.58</v>
      </c>
      <c r="AA222" s="4">
        <v>11.2</v>
      </c>
      <c r="AB222" s="4">
        <v>11.85</v>
      </c>
      <c r="AC222" s="4">
        <v>8.9499999999999993</v>
      </c>
      <c r="AD222" s="4">
        <v>10.4</v>
      </c>
      <c r="AE222" s="4">
        <v>10.53</v>
      </c>
      <c r="AF222" s="4">
        <v>10.199999999999999</v>
      </c>
      <c r="AG222" s="4">
        <v>9.15</v>
      </c>
      <c r="AH222" s="4">
        <v>8.75</v>
      </c>
      <c r="AI222" s="4">
        <v>9.35</v>
      </c>
      <c r="AJ222" s="4">
        <v>8.6999999999999993</v>
      </c>
      <c r="AK222" s="4">
        <v>8.61</v>
      </c>
      <c r="AL222" s="4">
        <v>8.8800000000000008</v>
      </c>
      <c r="AM222" s="4">
        <v>8.65</v>
      </c>
      <c r="AN222" s="4">
        <v>8.67</v>
      </c>
      <c r="AO222" s="4">
        <v>8.4</v>
      </c>
      <c r="AP222" s="4">
        <v>8.36</v>
      </c>
      <c r="AQ222" s="4">
        <v>8.31</v>
      </c>
      <c r="AR222" s="4">
        <v>8.26</v>
      </c>
      <c r="AS222" s="4">
        <v>8.25</v>
      </c>
      <c r="AT222" s="4">
        <v>8.2899999999999991</v>
      </c>
      <c r="AU222" s="4">
        <v>8.33</v>
      </c>
      <c r="AV222" s="4">
        <v>7.56</v>
      </c>
      <c r="AW222" s="4">
        <v>7.79</v>
      </c>
      <c r="AX222" s="4">
        <v>6.59</v>
      </c>
      <c r="AY222" s="12">
        <v>7.18</v>
      </c>
      <c r="AZ222" s="12">
        <v>7.3</v>
      </c>
      <c r="BA222" s="12">
        <v>7.18</v>
      </c>
      <c r="BB222" s="18">
        <v>7.06</v>
      </c>
      <c r="BC222" s="63">
        <v>7.92</v>
      </c>
      <c r="BD222" s="63">
        <v>8.31</v>
      </c>
      <c r="BE222" s="63">
        <v>8.3699999999999992</v>
      </c>
      <c r="BF222" s="63">
        <v>8.86</v>
      </c>
      <c r="BG222" s="91" cm="1">
        <f t="array" aca="1" ref="BG222" ca="1">_FV(EE222,"Preço")</f>
        <v>8.9</v>
      </c>
      <c r="BH222" s="95" t="s">
        <v>219</v>
      </c>
      <c r="BI222" s="32" cm="1">
        <f t="array" aca="1" ref="BI222" ca="1">_FV(EE222,"Beta")</f>
        <v>1.7844</v>
      </c>
      <c r="BJ222" s="96" cm="1">
        <f t="array" aca="1" ref="BJ222" ca="1">_FV(EE222,"Variação (%)",TRUE)</f>
        <v>-4.6087999999999997E-2</v>
      </c>
      <c r="BK222" s="72"/>
      <c r="BL222" s="72"/>
      <c r="BN222" s="32"/>
      <c r="BO222" s="20" cm="1">
        <f t="array" aca="1" ref="BO222" ca="1">_FV(EE222,"Baixo")</f>
        <v>8.58</v>
      </c>
      <c r="BP222" s="20" cm="1">
        <f t="array" aca="1" ref="BP222" ca="1">_FV(EE222,"Alto")</f>
        <v>9.32</v>
      </c>
      <c r="BQ222" s="32"/>
      <c r="BR222" s="74" t="e">
        <f ca="1">SQRT(22.5*(BG222/VLOOKUP(BH222,Fundamentus!A:U,3,FALSE))*(BG222/VLOOKUP(BH222,Fundamentus!A:U,4,FALSE)))</f>
        <v>#NUM!</v>
      </c>
      <c r="BT222" s="73">
        <f t="shared" ca="1" si="235"/>
        <v>4.5146726862303529E-3</v>
      </c>
      <c r="BU222" s="36">
        <f t="shared" si="236"/>
        <v>3.4521276595744679</v>
      </c>
      <c r="BV222" s="8"/>
      <c r="BW222" s="72">
        <f t="shared" si="237"/>
        <v>1.56</v>
      </c>
      <c r="BX222" s="72">
        <f t="shared" si="238"/>
        <v>8.9775862068965502</v>
      </c>
      <c r="BY222" s="72">
        <f t="shared" si="239"/>
        <v>15.38</v>
      </c>
      <c r="BZ222" s="17"/>
      <c r="CA222" s="17"/>
      <c r="CB222" s="43">
        <f t="shared" si="240"/>
        <v>8.397444273491077</v>
      </c>
      <c r="CC222" s="18">
        <f t="shared" si="241"/>
        <v>9.0653514526709387</v>
      </c>
      <c r="CD222" s="43">
        <f t="shared" si="242"/>
        <v>9.7332586318508003</v>
      </c>
      <c r="CE222" s="98">
        <f t="shared" ca="1" si="243"/>
        <v>-0.24756651496691068</v>
      </c>
      <c r="CF222" s="17"/>
      <c r="CG222" s="20">
        <f t="shared" si="244"/>
        <v>-12.000000000000002</v>
      </c>
      <c r="CH222" s="20">
        <f t="shared" si="245"/>
        <v>-5.2200000000000006</v>
      </c>
      <c r="CI222" s="20">
        <f t="shared" si="246"/>
        <v>1.8199999999999985</v>
      </c>
      <c r="CJ222" s="49">
        <f t="shared" si="247"/>
        <v>8.6</v>
      </c>
      <c r="CK222" s="20">
        <f t="shared" si="248"/>
        <v>15.639999999999999</v>
      </c>
      <c r="CL222" s="20">
        <f t="shared" si="249"/>
        <v>22.42</v>
      </c>
      <c r="CM222" s="20">
        <f t="shared" si="250"/>
        <v>29.46</v>
      </c>
      <c r="CN222" s="2" cm="1">
        <f t="array" aca="1" ref="CN222" ca="1">MAX(_xlfn._xlws.FILTER(CG222:CM222,CG222:CM222&lt;BG222))</f>
        <v>8.6</v>
      </c>
      <c r="CO222" s="2" cm="1">
        <f t="array" aca="1" ref="CO222" ca="1">MIN(_xlfn._xlws.FILTER($CG222:$CM222,$CG222:$CM222&gt;BG222))</f>
        <v>15.639999999999999</v>
      </c>
      <c r="CP222" s="19">
        <f t="shared" ca="1" si="259"/>
        <v>0.81860465116279069</v>
      </c>
      <c r="CQ222" s="23">
        <f t="shared" ca="1" si="260"/>
        <v>-0.40930232558139534</v>
      </c>
      <c r="CR222" s="23">
        <f t="shared" ca="1" si="261"/>
        <v>-0.27286821705426356</v>
      </c>
      <c r="CS222" s="23">
        <f t="shared" ca="1" si="262"/>
        <v>-0.16372093023255813</v>
      </c>
      <c r="CT222" s="23">
        <f t="shared" ca="1" si="263"/>
        <v>-9.0956072351421183E-2</v>
      </c>
      <c r="CU222" s="23">
        <f t="shared" ca="1" si="264"/>
        <v>-4.8153214774281805E-2</v>
      </c>
      <c r="CV222" s="23">
        <f t="shared" ca="1" si="265"/>
        <v>-2.4806201550387597E-2</v>
      </c>
      <c r="CW222" s="23">
        <f t="shared" ca="1" si="266"/>
        <v>-1.2593917710196779E-2</v>
      </c>
      <c r="CX222" s="24">
        <f t="shared" ca="1" si="267"/>
        <v>1.2593917710196779E-2</v>
      </c>
      <c r="CY222" s="24">
        <f t="shared" ca="1" si="268"/>
        <v>2.4806201550387597E-2</v>
      </c>
      <c r="CZ222" s="24">
        <f t="shared" ca="1" si="269"/>
        <v>4.8153214774281805E-2</v>
      </c>
      <c r="DA222" s="24">
        <f t="shared" ca="1" si="270"/>
        <v>9.0956072351421183E-2</v>
      </c>
      <c r="DB222" s="24">
        <f t="shared" ca="1" si="271"/>
        <v>0.16372093023255813</v>
      </c>
      <c r="DC222" s="24">
        <f t="shared" ca="1" si="272"/>
        <v>0.27286821705426356</v>
      </c>
      <c r="DD222" s="24">
        <f t="shared" ca="1" si="273"/>
        <v>0.40930232558139534</v>
      </c>
      <c r="DF222" s="19" cm="1">
        <f t="array" aca="1" ref="DF222" ca="1">MAX(_xlfn._xlws.FILTER(CQ222:DD222,CQ222:DD222&lt;BJ222))</f>
        <v>-4.8153214774281805E-2</v>
      </c>
      <c r="DG222" s="19" cm="1">
        <f t="array" aca="1" ref="DG222" ca="1">MIN(_xlfn._xlws.FILTER(CQ222:DD222,CQ222:DD222&gt;BJ222))</f>
        <v>-2.4806201550387597E-2</v>
      </c>
      <c r="DH222" s="2" cm="1">
        <f t="array" aca="1" ref="DH222" ca="1">_FV(EE222,"Fechamento anterior",TRUE)</f>
        <v>9.33</v>
      </c>
      <c r="DI222" s="36">
        <f t="shared" ca="1" si="251"/>
        <v>8.8462118167204312E-2</v>
      </c>
      <c r="DJ222" s="18">
        <f t="shared" ca="1" si="274"/>
        <v>8.8807305061559507</v>
      </c>
      <c r="DK222" s="18">
        <f t="shared" ca="1" si="275"/>
        <v>9.0985581395348838</v>
      </c>
      <c r="DL222" s="9"/>
      <c r="DM222" s="9"/>
      <c r="DN222" s="9"/>
      <c r="DO222" s="9"/>
      <c r="DP222" s="79">
        <v>3.9285143742229432E-2</v>
      </c>
      <c r="DQ222" s="79">
        <v>1.1208628424356371E-2</v>
      </c>
      <c r="DR222" s="79">
        <v>3.9285143742229432E-2</v>
      </c>
      <c r="DS222" s="79">
        <f t="shared" ca="1" si="252"/>
        <v>2.3347013223894209E-2</v>
      </c>
      <c r="DT222" s="47"/>
      <c r="DU222" s="43">
        <f t="shared" si="253"/>
        <v>0.33395358958993071</v>
      </c>
      <c r="DV222" s="83">
        <f t="shared" ca="1" si="254"/>
        <v>2.2105000000000001</v>
      </c>
      <c r="DW222" s="83">
        <f t="shared" ca="1" si="255"/>
        <v>6.3931999999999993</v>
      </c>
      <c r="DX222" s="83">
        <f t="shared" ca="1" si="234"/>
        <v>-4.1826999999999988</v>
      </c>
      <c r="DY222" s="67"/>
      <c r="DZ222" s="67"/>
      <c r="EA222" s="85"/>
      <c r="EB222" s="44">
        <v>46700</v>
      </c>
      <c r="EC222" s="44" cm="1">
        <f t="array" aca="1" ref="EC222" ca="1">_FV(EE222,"Volume")</f>
        <v>74800</v>
      </c>
      <c r="EE222" s="2" t="e" vm="224">
        <v>#VALUE!</v>
      </c>
      <c r="EG222" s="10" cm="1">
        <f t="array" aca="1" ref="EG222" ca="1">_FV(EE222,"Ações em circulação",TRUE)</f>
        <v>330121700</v>
      </c>
      <c r="EH222" s="21">
        <f>VLOOKUP(BH222,Fundamentus!A:U,5,FALSE)</f>
        <v>1.887</v>
      </c>
      <c r="EI222" s="2">
        <f t="shared" ca="1" si="256"/>
        <v>1557012787.4933758</v>
      </c>
      <c r="EJ222" s="20">
        <v>13135291921.391943</v>
      </c>
      <c r="EK222" s="20">
        <f t="shared" ca="1" si="257"/>
        <v>13194593465.055113</v>
      </c>
      <c r="EM222" s="40" t="str">
        <f>IF(VLOOKUP(BH222,Fundamentus!A:U,3,FALSE)&lt;15,"Bom",IF(VLOOKUP(BH222,Fundamentus!A:U,3,FALSE)&gt;15,"Ruim","n/a"))</f>
        <v>Bom</v>
      </c>
      <c r="EN222" s="36" t="str">
        <f>IF(VLOOKUP(BH222,Fundamentus!A:U,4,FALSE)&lt;1,"Baixo",IF(VLOOKUP(BH222,Fundamentus!A:U,4,FALSE)&lt;1.5,"Moderado",IF(VLOOKUP(BH222,Fundamentus!A:U,4,FALSE)&gt;1.5,"Alto","n/a")))</f>
        <v>Baixo</v>
      </c>
      <c r="EO222" s="20" t="str">
        <f>IF(VLOOKUP(BH222,Fundamentus!A:U,8,FALSE)&lt;0,"Risco elevado",IF(VLOOKUP(BH222,Fundamentus!A:U,8,FALSE)&lt;1,"Saudável",IF(VLOOKUP(BH222,Fundamentus!A:U,8,FALSE)&lt;3,"Estável",IF(VLOOKUP(BH222,Fundamentus!A:U,8,FALSE)&gt;3,"Alerta","n/a"))))</f>
        <v>Risco elevado</v>
      </c>
      <c r="EP222" s="36" t="str">
        <f t="shared" si="258"/>
        <v>Bom</v>
      </c>
      <c r="EQ222" s="20" t="str">
        <f>IF(VLOOKUP(BH222,Fundamentus!A:U,12,FALSE)&lt;2,"Subvalorizada",IF(VLOOKUP(BH222,Fundamentus!A:U,12,FALSE)&lt;6,"Muita barata",IF(VLOOKUP(BH222,Fundamentus!A:U,12,FALSE)&lt;6,"Barata",IF(VLOOKUP(BH222,Fundamentus!A:U,12,FALSE)&lt;8,"Atrativa",IF(VLOOKUP(BH222,Fundamentus!A:U,12,FALSE)&gt;8,"Supervalorizada","n/a")))))</f>
        <v>Subvalorizada</v>
      </c>
      <c r="ES222" s="20" t="str">
        <f>IF(VLOOKUP(BH222,Fundamentus!A:U,17,FALSE)&lt;0.1,"Fraco retorno",IF(VLOOKUP(BH222,Fundamentus!A:U,17,FALSE)&gt;0.1,"Bom retorno","n/a"))</f>
        <v>Fraco retorno</v>
      </c>
      <c r="ET222" s="20" t="str">
        <f>IF(VLOOKUP(BH222,Fundamentus!A:U,16,FALSE)&lt;0.1,"Ineficiente",IF(VLOOKUP(BH222,Fundamentus!A:U,16,FALSE)&gt;0.1,"Eficiente","n/a"))</f>
        <v>Ineficiente</v>
      </c>
      <c r="EU222" s="41" t="str">
        <f>IF(VLOOKUP(BH222,Fundamentus!A:U,16,FALSE)&lt;0.1,"Oper. Ineficiente",IF(VLOOKUP(BH222,Fundamentus!A:U,16,FALSE)&gt;0.1,"Oper.Eficiente","n/a"))</f>
        <v>Oper. Ineficiente</v>
      </c>
      <c r="EV222" s="42">
        <f>VLOOKUP(BH222,Fundamentus!A:U,14,FALSE)</f>
        <v>8.4742999999999995</v>
      </c>
      <c r="EW222" s="20" t="str">
        <f>IF(VLOOKUP(BH222,Fundamentus!A:U,21,FALSE)&lt;0,"Negativo",IF(VLOOKUP(BH222,Fundamentus!A:U,21,FALSE)&lt;0.05,"Fraco",IF(VLOOKUP(BH222,Fundamentus!A:U,21,FALSE)&lt;0.1,"Bom",IF(VLOOKUP(BH222,Fundamentus!A:U,21,FALSE)&gt;0.1,"Muito bom","n/a"))))</f>
        <v>Negativo</v>
      </c>
      <c r="EY222" s="37" t="str">
        <f>IF(VLOOKUP(BH222,Fundamentus!A:U,15,FALSE)&gt;1,"Bom",IF(VLOOKUP(BH222,Fundamentus!A:U,15,FALSE)&lt;1,"Ruim","n/a"))</f>
        <v>Ruim</v>
      </c>
      <c r="EZ222" s="20" t="str">
        <f>IF(VLOOKUP(BH222,Fundamentus!A:U,20,FALSE)&lt;0.5,"Baixa",IF(VLOOKUP(BH222,Fundamentus!A:U,20,FALSE)&lt;1,"Moderada",IF(VLOOKUP(BH222,Fundamentus!A:U,20,FALSE)&lt;2,"Alerta",IF(VLOOKUP(BH222,Fundamentus!A:U,20,FALSE)&gt;2,"Alta","n/a"))))</f>
        <v>Baixa</v>
      </c>
    </row>
    <row r="223" spans="1:156" s="2" customFormat="1" ht="11.25" hidden="1" x14ac:dyDescent="0.2">
      <c r="A223" s="4">
        <v>5.65</v>
      </c>
      <c r="B223" s="4">
        <v>5.48</v>
      </c>
      <c r="C223" s="4">
        <v>5.39</v>
      </c>
      <c r="D223" s="4">
        <v>5.21</v>
      </c>
      <c r="E223" s="4">
        <v>5.26</v>
      </c>
      <c r="F223" s="4">
        <v>5.3</v>
      </c>
      <c r="G223" s="4">
        <v>5.45</v>
      </c>
      <c r="H223" s="4">
        <v>5.82</v>
      </c>
      <c r="I223" s="4">
        <v>5.84</v>
      </c>
      <c r="J223" s="4">
        <v>5.97</v>
      </c>
      <c r="K223" s="4">
        <v>6.46</v>
      </c>
      <c r="L223" s="4">
        <v>6.15</v>
      </c>
      <c r="M223" s="4">
        <v>6.29</v>
      </c>
      <c r="N223" s="4">
        <v>6.23</v>
      </c>
      <c r="O223" s="4">
        <v>6.11</v>
      </c>
      <c r="P223" s="4">
        <v>6.05</v>
      </c>
      <c r="Q223" s="4">
        <v>6.37</v>
      </c>
      <c r="R223" s="4">
        <v>6.19</v>
      </c>
      <c r="S223" s="4">
        <v>6.2</v>
      </c>
      <c r="T223" s="4">
        <v>6.28</v>
      </c>
      <c r="U223" s="4">
        <v>5.61</v>
      </c>
      <c r="V223" s="4">
        <v>5.7</v>
      </c>
      <c r="W223" s="4">
        <v>5.68</v>
      </c>
      <c r="X223" s="4">
        <v>5.72</v>
      </c>
      <c r="Y223" s="4">
        <v>5.53</v>
      </c>
      <c r="Z223" s="4">
        <v>5.44</v>
      </c>
      <c r="AA223" s="4">
        <v>5.49</v>
      </c>
      <c r="AB223" s="4">
        <v>5.4</v>
      </c>
      <c r="AC223" s="4">
        <v>5.84</v>
      </c>
      <c r="AD223" s="4">
        <v>5.58</v>
      </c>
      <c r="AE223" s="4">
        <v>5.31</v>
      </c>
      <c r="AF223" s="4">
        <v>5.45</v>
      </c>
      <c r="AG223" s="4">
        <v>5.03</v>
      </c>
      <c r="AH223" s="4">
        <v>5.07</v>
      </c>
      <c r="AI223" s="4">
        <v>5.25</v>
      </c>
      <c r="AJ223" s="4">
        <v>5.14</v>
      </c>
      <c r="AK223" s="4">
        <v>5.18</v>
      </c>
      <c r="AL223" s="4">
        <v>5.17</v>
      </c>
      <c r="AM223" s="4">
        <v>5.09</v>
      </c>
      <c r="AN223" s="4">
        <v>5.58</v>
      </c>
      <c r="AO223" s="4">
        <v>5.25</v>
      </c>
      <c r="AP223" s="4">
        <v>5.4</v>
      </c>
      <c r="AQ223" s="4">
        <v>5.46</v>
      </c>
      <c r="AR223" s="4">
        <v>5.35</v>
      </c>
      <c r="AS223" s="4">
        <v>5.25</v>
      </c>
      <c r="AT223" s="4">
        <v>5.3</v>
      </c>
      <c r="AU223" s="4">
        <v>5.2</v>
      </c>
      <c r="AV223" s="4">
        <v>5.35</v>
      </c>
      <c r="AW223" s="4">
        <v>5.31</v>
      </c>
      <c r="AX223" s="4">
        <v>4.95</v>
      </c>
      <c r="AY223" s="12">
        <v>4.9000000000000004</v>
      </c>
      <c r="AZ223" s="12">
        <v>5.01</v>
      </c>
      <c r="BA223" s="12">
        <v>5.2</v>
      </c>
      <c r="BB223" s="18">
        <v>5.2</v>
      </c>
      <c r="BC223" s="63">
        <v>5</v>
      </c>
      <c r="BD223" s="63">
        <v>4.8</v>
      </c>
      <c r="BE223" s="63">
        <v>4.62</v>
      </c>
      <c r="BF223" s="63">
        <v>4.5599999999999996</v>
      </c>
      <c r="BG223" s="91" cm="1">
        <f t="array" aca="1" ref="BG223" ca="1">_FV(EE223,"Preço")</f>
        <v>4.49</v>
      </c>
      <c r="BH223" s="93" t="s">
        <v>220</v>
      </c>
      <c r="BI223" s="32" cm="1">
        <f t="array" aca="1" ref="BI223" ca="1">_FV(EE223,"Beta")</f>
        <v>1.0291999999999999</v>
      </c>
      <c r="BJ223" s="96" cm="1">
        <f t="array" aca="1" ref="BJ223" ca="1">_FV(EE223,"Variação (%)",TRUE)</f>
        <v>-2.8138999999999997E-2</v>
      </c>
      <c r="BK223" s="49"/>
      <c r="BL223" s="49"/>
      <c r="BN223" s="32"/>
      <c r="BO223" s="20" cm="1">
        <f t="array" aca="1" ref="BO223" ca="1">_FV(EE223,"Baixo")</f>
        <v>4.42</v>
      </c>
      <c r="BP223" s="20" cm="1">
        <f t="array" aca="1" ref="BP223" ca="1">_FV(EE223,"Alto")</f>
        <v>4.62</v>
      </c>
      <c r="BQ223" s="32"/>
      <c r="BR223" s="74">
        <f ca="1">SQRT(22.5*(BG223/VLOOKUP(BH223,Fundamentus!A:U,3,FALSE))*(BG223/VLOOKUP(BH223,Fundamentus!A:U,4,FALSE)))</f>
        <v>6.5176130765615952</v>
      </c>
      <c r="BT223" s="73">
        <f t="shared" ca="1" si="235"/>
        <v>-1.5350877192982325E-2</v>
      </c>
      <c r="BU223" s="36">
        <f t="shared" si="236"/>
        <v>-0.18230088495575225</v>
      </c>
      <c r="BV223" s="8"/>
      <c r="BW223" s="72">
        <f t="shared" si="237"/>
        <v>4.5599999999999996</v>
      </c>
      <c r="BX223" s="72">
        <f t="shared" si="238"/>
        <v>5.483965517241379</v>
      </c>
      <c r="BY223" s="72">
        <f t="shared" si="239"/>
        <v>6.46</v>
      </c>
      <c r="BZ223" s="17"/>
      <c r="CA223" s="17"/>
      <c r="CB223" s="43">
        <f t="shared" si="240"/>
        <v>4.0353222157603454</v>
      </c>
      <c r="CC223" s="18">
        <f t="shared" si="241"/>
        <v>4.378687910028134</v>
      </c>
      <c r="CD223" s="43">
        <f t="shared" si="242"/>
        <v>4.7220536042959225</v>
      </c>
      <c r="CE223" s="98">
        <f t="shared" ca="1" si="243"/>
        <v>0.32417941521279275</v>
      </c>
      <c r="CF223" s="17"/>
      <c r="CG223" s="20">
        <f t="shared" si="244"/>
        <v>2.0266666666666646</v>
      </c>
      <c r="CH223" s="20">
        <f t="shared" si="245"/>
        <v>3.2933333333333321</v>
      </c>
      <c r="CI223" s="20">
        <f t="shared" si="246"/>
        <v>3.926666666666665</v>
      </c>
      <c r="CJ223" s="49">
        <f t="shared" si="247"/>
        <v>5.1933333333333325</v>
      </c>
      <c r="CK223" s="20">
        <f t="shared" si="248"/>
        <v>5.8266666666666653</v>
      </c>
      <c r="CL223" s="20">
        <f t="shared" si="249"/>
        <v>7.0933333333333328</v>
      </c>
      <c r="CM223" s="20">
        <f t="shared" si="250"/>
        <v>7.7266666666666657</v>
      </c>
      <c r="CN223" s="2" cm="1">
        <f t="array" aca="1" ref="CN223" ca="1">MAX(_xlfn._xlws.FILTER(CG223:CM223,CG223:CM223&lt;BG223))</f>
        <v>3.926666666666665</v>
      </c>
      <c r="CO223" s="2" cm="1">
        <f t="array" aca="1" ref="CO223" ca="1">MIN(_xlfn._xlws.FILTER($CG223:$CM223,$CG223:$CM223&gt;BG223))</f>
        <v>5.1933333333333325</v>
      </c>
      <c r="CP223" s="19">
        <f t="shared" ca="1" si="259"/>
        <v>0.3225806451612907</v>
      </c>
      <c r="CQ223" s="23">
        <f t="shared" ca="1" si="260"/>
        <v>-0.16129032258064535</v>
      </c>
      <c r="CR223" s="23">
        <f t="shared" ca="1" si="261"/>
        <v>-0.10752688172043023</v>
      </c>
      <c r="CS223" s="23">
        <f t="shared" ca="1" si="262"/>
        <v>-6.4516129032258146E-2</v>
      </c>
      <c r="CT223" s="23">
        <f t="shared" ca="1" si="263"/>
        <v>-3.5842293906810076E-2</v>
      </c>
      <c r="CU223" s="23">
        <f t="shared" ca="1" si="264"/>
        <v>-1.8975332068311219E-2</v>
      </c>
      <c r="CV223" s="23">
        <f t="shared" ca="1" si="265"/>
        <v>-9.7751710654936583E-3</v>
      </c>
      <c r="CW223" s="23">
        <f t="shared" ca="1" si="266"/>
        <v>-4.9627791563275495E-3</v>
      </c>
      <c r="CX223" s="24">
        <f t="shared" ca="1" si="267"/>
        <v>4.9627791563275495E-3</v>
      </c>
      <c r="CY223" s="24">
        <f t="shared" ca="1" si="268"/>
        <v>9.7751710654936583E-3</v>
      </c>
      <c r="CZ223" s="24">
        <f t="shared" ca="1" si="269"/>
        <v>1.8975332068311219E-2</v>
      </c>
      <c r="DA223" s="24">
        <f t="shared" ca="1" si="270"/>
        <v>3.5842293906810076E-2</v>
      </c>
      <c r="DB223" s="24">
        <f t="shared" ca="1" si="271"/>
        <v>6.4516129032258146E-2</v>
      </c>
      <c r="DC223" s="24">
        <f t="shared" ca="1" si="272"/>
        <v>0.10752688172043023</v>
      </c>
      <c r="DD223" s="24">
        <f t="shared" ca="1" si="273"/>
        <v>0.16129032258064535</v>
      </c>
      <c r="DF223" s="19" cm="1">
        <f t="array" aca="1" ref="DF223" ca="1">MAX(_xlfn._xlws.FILTER(CQ223:DD223,CQ223:DD223&lt;BJ223))</f>
        <v>-3.5842293906810076E-2</v>
      </c>
      <c r="DG223" s="19" cm="1">
        <f t="array" aca="1" ref="DG223" ca="1">MIN(_xlfn._xlws.FILTER(CQ223:DD223,CQ223:DD223&gt;BJ223))</f>
        <v>-1.8975332068311219E-2</v>
      </c>
      <c r="DH223" s="2" cm="1">
        <f t="array" aca="1" ref="DH223" ca="1">_FV(EE223,"Fechamento anterior",TRUE)</f>
        <v>4.62</v>
      </c>
      <c r="DI223" s="36">
        <f t="shared" ca="1" si="251"/>
        <v>0.45673701298701824</v>
      </c>
      <c r="DJ223" s="18">
        <f t="shared" ca="1" si="274"/>
        <v>4.4544086021505374</v>
      </c>
      <c r="DK223" s="18">
        <f t="shared" ca="1" si="275"/>
        <v>4.5323339658444022</v>
      </c>
      <c r="DL223" s="9"/>
      <c r="DM223" s="9"/>
      <c r="DN223" s="9"/>
      <c r="DO223" s="9"/>
      <c r="DP223" s="79">
        <v>8.4645880210007622E-3</v>
      </c>
      <c r="DQ223" s="79">
        <v>3.8194336142596636E-3</v>
      </c>
      <c r="DR223" s="79">
        <v>1.425158334375989E-2</v>
      </c>
      <c r="DS223" s="79">
        <f t="shared" ca="1" si="252"/>
        <v>1.6866961838498857E-2</v>
      </c>
      <c r="DT223" s="47"/>
      <c r="DU223" s="43">
        <f t="shared" si="253"/>
        <v>0.17168284713389403</v>
      </c>
      <c r="DV223" s="83">
        <f t="shared" ca="1" si="254"/>
        <v>1.4552999999999998</v>
      </c>
      <c r="DW223" s="83">
        <f t="shared" ca="1" si="255"/>
        <v>3.8430999999999997</v>
      </c>
      <c r="DX223" s="83">
        <f t="shared" ca="1" si="234"/>
        <v>-2.3877999999999999</v>
      </c>
      <c r="DY223" s="67"/>
      <c r="DZ223" s="67"/>
      <c r="EA223" s="85"/>
      <c r="EB223" s="44">
        <v>157200</v>
      </c>
      <c r="EC223" s="44" cm="1">
        <f t="array" aca="1" ref="EC223" ca="1">_FV(EE223,"Volume")</f>
        <v>368900</v>
      </c>
      <c r="EE223" s="2" t="e" vm="225">
        <v>#VALUE!</v>
      </c>
      <c r="EG223" s="10" cm="1">
        <f t="array" aca="1" ref="EG223" ca="1">_FV(EE223,"Ações em circulação",TRUE)</f>
        <v>150314000</v>
      </c>
      <c r="EH223" s="21">
        <f>VLOOKUP(BH223,Fundamentus!A:U,5,FALSE)</f>
        <v>0.872</v>
      </c>
      <c r="EI223" s="2">
        <f t="shared" ca="1" si="256"/>
        <v>773979197.24770641</v>
      </c>
      <c r="EJ223" s="20">
        <v>71058530.201834857</v>
      </c>
      <c r="EK223" s="20">
        <f t="shared" ca="1" si="257"/>
        <v>69967719.431192651</v>
      </c>
      <c r="EM223" s="40" t="str">
        <f>IF(VLOOKUP(BH223,Fundamentus!A:U,3,FALSE)&lt;15,"Bom",IF(VLOOKUP(BH223,Fundamentus!A:U,3,FALSE)&gt;15,"Ruim","n/a"))</f>
        <v>Bom</v>
      </c>
      <c r="EN223" s="36" t="str">
        <f>IF(VLOOKUP(BH223,Fundamentus!A:U,4,FALSE)&lt;1,"Baixo",IF(VLOOKUP(BH223,Fundamentus!A:U,4,FALSE)&lt;1.5,"Moderado",IF(VLOOKUP(BH223,Fundamentus!A:U,4,FALSE)&gt;1.5,"Alto","n/a")))</f>
        <v>Moderado</v>
      </c>
      <c r="EO223" s="20" t="str">
        <f>IF(VLOOKUP(BH223,Fundamentus!A:U,8,FALSE)&lt;0,"Risco elevado",IF(VLOOKUP(BH223,Fundamentus!A:U,8,FALSE)&lt;1,"Saudável",IF(VLOOKUP(BH223,Fundamentus!A:U,8,FALSE)&lt;3,"Estável",IF(VLOOKUP(BH223,Fundamentus!A:U,8,FALSE)&gt;3,"Alerta","n/a"))))</f>
        <v>Estável</v>
      </c>
      <c r="EP223" s="36" t="str">
        <f t="shared" si="258"/>
        <v>Ruim</v>
      </c>
      <c r="EQ223" s="20" t="str">
        <f>IF(VLOOKUP(BH223,Fundamentus!A:U,12,FALSE)&lt;2,"Subvalorizada",IF(VLOOKUP(BH223,Fundamentus!A:U,12,FALSE)&lt;6,"Muita barata",IF(VLOOKUP(BH223,Fundamentus!A:U,12,FALSE)&lt;6,"Barata",IF(VLOOKUP(BH223,Fundamentus!A:U,12,FALSE)&lt;8,"Atrativa",IF(VLOOKUP(BH223,Fundamentus!A:U,12,FALSE)&gt;8,"Supervalorizada","n/a")))))</f>
        <v>Supervalorizada</v>
      </c>
      <c r="ES223" s="20" t="str">
        <f>IF(VLOOKUP(BH223,Fundamentus!A:U,17,FALSE)&lt;0.1,"Fraco retorno",IF(VLOOKUP(BH223,Fundamentus!A:U,17,FALSE)&gt;0.1,"Bom retorno","n/a"))</f>
        <v>Bom retorno</v>
      </c>
      <c r="ET223" s="20" t="str">
        <f>IF(VLOOKUP(BH223,Fundamentus!A:U,16,FALSE)&lt;0.1,"Ineficiente",IF(VLOOKUP(BH223,Fundamentus!A:U,16,FALSE)&gt;0.1,"Eficiente","n/a"))</f>
        <v>Ineficiente</v>
      </c>
      <c r="EU223" s="41" t="str">
        <f>IF(VLOOKUP(BH223,Fundamentus!A:U,16,FALSE)&lt;0.1,"Oper. Ineficiente",IF(VLOOKUP(BH223,Fundamentus!A:U,16,FALSE)&gt;0.1,"Oper.Eficiente","n/a"))</f>
        <v>Oper. Ineficiente</v>
      </c>
      <c r="EV223" s="42">
        <f>VLOOKUP(BH223,Fundamentus!A:U,14,FALSE)</f>
        <v>9.0399999999999994E-2</v>
      </c>
      <c r="EW223" s="20" t="str">
        <f>IF(VLOOKUP(BH223,Fundamentus!A:U,21,FALSE)&lt;0,"Negativo",IF(VLOOKUP(BH223,Fundamentus!A:U,21,FALSE)&lt;0.05,"Fraco",IF(VLOOKUP(BH223,Fundamentus!A:U,21,FALSE)&lt;0.1,"Bom",IF(VLOOKUP(BH223,Fundamentus!A:U,21,FALSE)&gt;0.1,"Muito bom","n/a"))))</f>
        <v>Bom</v>
      </c>
      <c r="EY223" s="37" t="str">
        <f>IF(VLOOKUP(BH223,Fundamentus!A:U,15,FALSE)&gt;1,"Bom",IF(VLOOKUP(BH223,Fundamentus!A:U,15,FALSE)&lt;1,"Ruim","n/a"))</f>
        <v>Bom</v>
      </c>
      <c r="EZ223" s="20" t="str">
        <f>IF(VLOOKUP(BH223,Fundamentus!A:U,20,FALSE)&lt;0.5,"Baixa",IF(VLOOKUP(BH223,Fundamentus!A:U,20,FALSE)&lt;1,"Moderada",IF(VLOOKUP(BH223,Fundamentus!A:U,20,FALSE)&lt;2,"Alerta",IF(VLOOKUP(BH223,Fundamentus!A:U,20,FALSE)&gt;2,"Alta","n/a"))))</f>
        <v>Baixa</v>
      </c>
    </row>
    <row r="224" spans="1:156" s="2" customFormat="1" ht="11.25" hidden="1" x14ac:dyDescent="0.2">
      <c r="A224" s="4">
        <v>6.04</v>
      </c>
      <c r="B224" s="4">
        <v>6.05</v>
      </c>
      <c r="C224" s="4">
        <v>4.8</v>
      </c>
      <c r="D224" s="4">
        <v>4.47</v>
      </c>
      <c r="E224" s="4">
        <v>4.18</v>
      </c>
      <c r="F224" s="4">
        <v>4.12</v>
      </c>
      <c r="G224" s="4">
        <v>4.0199999999999996</v>
      </c>
      <c r="H224" s="4">
        <v>4.1500000000000004</v>
      </c>
      <c r="I224" s="4">
        <v>4.62</v>
      </c>
      <c r="J224" s="4">
        <v>4.91</v>
      </c>
      <c r="K224" s="4">
        <v>5.08</v>
      </c>
      <c r="L224" s="4">
        <v>4.7699999999999996</v>
      </c>
      <c r="M224" s="4">
        <v>4.93</v>
      </c>
      <c r="N224" s="4">
        <v>4.3499999999999996</v>
      </c>
      <c r="O224" s="4">
        <v>4.9400000000000004</v>
      </c>
      <c r="P224" s="4">
        <v>4.62</v>
      </c>
      <c r="Q224" s="4">
        <v>5.29</v>
      </c>
      <c r="R224" s="4">
        <v>4.8899999999999997</v>
      </c>
      <c r="S224" s="4">
        <v>4.91</v>
      </c>
      <c r="T224" s="4">
        <v>5.08</v>
      </c>
      <c r="U224" s="4">
        <v>4.75</v>
      </c>
      <c r="V224" s="4">
        <v>4.6399999999999997</v>
      </c>
      <c r="W224" s="4">
        <v>4.6500000000000004</v>
      </c>
      <c r="X224" s="4">
        <v>4.63</v>
      </c>
      <c r="Y224" s="4">
        <v>4.5199999999999996</v>
      </c>
      <c r="Z224" s="4">
        <v>4.28</v>
      </c>
      <c r="AA224" s="4">
        <v>4</v>
      </c>
      <c r="AB224" s="4">
        <v>4.04</v>
      </c>
      <c r="AC224" s="4">
        <v>4.08</v>
      </c>
      <c r="AD224" s="4">
        <v>4.2699999999999996</v>
      </c>
      <c r="AE224" s="4">
        <v>4.17</v>
      </c>
      <c r="AF224" s="4">
        <v>3.85</v>
      </c>
      <c r="AG224" s="4">
        <v>3.91</v>
      </c>
      <c r="AH224" s="4">
        <v>3.74</v>
      </c>
      <c r="AI224" s="4">
        <v>3.56</v>
      </c>
      <c r="AJ224" s="4">
        <v>3.36</v>
      </c>
      <c r="AK224" s="4">
        <v>3.4</v>
      </c>
      <c r="AL224" s="4">
        <v>3.53</v>
      </c>
      <c r="AM224" s="4">
        <v>3.42</v>
      </c>
      <c r="AN224" s="4">
        <v>3.66</v>
      </c>
      <c r="AO224" s="4">
        <v>3.53</v>
      </c>
      <c r="AP224" s="4">
        <v>3.69</v>
      </c>
      <c r="AQ224" s="4">
        <v>3.99</v>
      </c>
      <c r="AR224" s="4">
        <v>3.56</v>
      </c>
      <c r="AS224" s="4">
        <v>3.7</v>
      </c>
      <c r="AT224" s="4">
        <v>3.5</v>
      </c>
      <c r="AU224" s="4">
        <v>3.54</v>
      </c>
      <c r="AV224" s="4">
        <v>3.62</v>
      </c>
      <c r="AW224" s="4">
        <v>3.67</v>
      </c>
      <c r="AX224" s="4">
        <v>3.72</v>
      </c>
      <c r="AY224" s="12">
        <v>4.25</v>
      </c>
      <c r="AZ224" s="12">
        <v>4.3499999999999996</v>
      </c>
      <c r="BA224" s="12">
        <v>4.2300000000000004</v>
      </c>
      <c r="BB224" s="18">
        <v>4.08</v>
      </c>
      <c r="BC224" s="63">
        <v>4.17</v>
      </c>
      <c r="BD224" s="63">
        <v>5</v>
      </c>
      <c r="BE224" s="63">
        <v>5.15</v>
      </c>
      <c r="BF224" s="63">
        <v>4.7699999999999996</v>
      </c>
      <c r="BG224" s="91" cm="1">
        <f t="array" aca="1" ref="BG224" ca="1">_FV(EE224,"Preço")</f>
        <v>5.26</v>
      </c>
      <c r="BH224" s="93" t="s">
        <v>221</v>
      </c>
      <c r="BI224" s="32" cm="1">
        <f t="array" aca="1" ref="BI224" ca="1">_FV(EE224,"Beta")</f>
        <v>1.6924999999999999</v>
      </c>
      <c r="BJ224" s="96" cm="1">
        <f t="array" aca="1" ref="BJ224" ca="1">_FV(EE224,"Variação (%)",TRUE)</f>
        <v>-9.4160000000000008E-3</v>
      </c>
      <c r="BK224" s="49"/>
      <c r="BL224" s="49"/>
      <c r="BN224" s="32"/>
      <c r="BO224" s="20" cm="1">
        <f t="array" aca="1" ref="BO224" ca="1">_FV(EE224,"Baixo")</f>
        <v>5.13</v>
      </c>
      <c r="BP224" s="20" cm="1">
        <f t="array" aca="1" ref="BP224" ca="1">_FV(EE224,"Alto")</f>
        <v>5.35</v>
      </c>
      <c r="BQ224" s="32"/>
      <c r="BR224" s="74" t="e">
        <f ca="1">SQRT(22.5*(BG224/VLOOKUP(BH224,Fundamentus!A:U,3,FALSE))*(BG224/VLOOKUP(BH224,Fundamentus!A:U,4,FALSE)))</f>
        <v>#NUM!</v>
      </c>
      <c r="BT224" s="73">
        <f t="shared" ca="1" si="235"/>
        <v>0.10272536687631033</v>
      </c>
      <c r="BU224" s="36">
        <f t="shared" si="236"/>
        <v>-0.14735099337748339</v>
      </c>
      <c r="BV224" s="8"/>
      <c r="BW224" s="72">
        <f t="shared" si="237"/>
        <v>3.36</v>
      </c>
      <c r="BX224" s="72">
        <f t="shared" si="238"/>
        <v>4.296551724137931</v>
      </c>
      <c r="BY224" s="72">
        <f t="shared" si="239"/>
        <v>6.05</v>
      </c>
      <c r="BZ224" s="17"/>
      <c r="CA224" s="17"/>
      <c r="CB224" s="43">
        <f t="shared" si="240"/>
        <v>4.5202299794090228</v>
      </c>
      <c r="CC224" s="18">
        <f t="shared" si="241"/>
        <v>5.2667385192128222</v>
      </c>
      <c r="CD224" s="43">
        <f t="shared" si="242"/>
        <v>6.0132470590166216</v>
      </c>
      <c r="CE224" s="98">
        <f t="shared" ca="1" si="243"/>
        <v>-9.0267141680568999E-3</v>
      </c>
      <c r="CF224" s="17"/>
      <c r="CG224" s="20">
        <f t="shared" si="244"/>
        <v>0.71333333333333337</v>
      </c>
      <c r="CH224" s="20">
        <f t="shared" si="245"/>
        <v>2.0366666666666666</v>
      </c>
      <c r="CI224" s="20">
        <f t="shared" si="246"/>
        <v>3.4033333333333333</v>
      </c>
      <c r="CJ224" s="49">
        <f t="shared" si="247"/>
        <v>4.7266666666666666</v>
      </c>
      <c r="CK224" s="20">
        <f t="shared" si="248"/>
        <v>6.0933333333333337</v>
      </c>
      <c r="CL224" s="20">
        <f t="shared" si="249"/>
        <v>7.4166666666666661</v>
      </c>
      <c r="CM224" s="20">
        <f t="shared" si="250"/>
        <v>8.7833333333333332</v>
      </c>
      <c r="CN224" s="2" cm="1">
        <f t="array" aca="1" ref="CN224" ca="1">MAX(_xlfn._xlws.FILTER(CG224:CM224,CG224:CM224&lt;BG224))</f>
        <v>4.7266666666666666</v>
      </c>
      <c r="CO224" s="2" cm="1">
        <f t="array" aca="1" ref="CO224" ca="1">MIN(_xlfn._xlws.FILTER($CG224:$CM224,$CG224:$CM224&gt;BG224))</f>
        <v>6.0933333333333337</v>
      </c>
      <c r="CP224" s="19">
        <f t="shared" ca="1" si="259"/>
        <v>0.28913963328631898</v>
      </c>
      <c r="CQ224" s="23">
        <f t="shared" ca="1" si="260"/>
        <v>-0.14456981664315949</v>
      </c>
      <c r="CR224" s="23">
        <f t="shared" ca="1" si="261"/>
        <v>-9.6379877762106325E-2</v>
      </c>
      <c r="CS224" s="23">
        <f t="shared" ca="1" si="262"/>
        <v>-5.7827926657263794E-2</v>
      </c>
      <c r="CT224" s="23">
        <f t="shared" ca="1" si="263"/>
        <v>-3.2126625920702111E-2</v>
      </c>
      <c r="CU224" s="23">
        <f t="shared" ca="1" si="264"/>
        <v>-1.7008213722724645E-2</v>
      </c>
      <c r="CV224" s="23">
        <f t="shared" ca="1" si="265"/>
        <v>-8.761807069282394E-3</v>
      </c>
      <c r="CW224" s="23">
        <f t="shared" ca="1" si="266"/>
        <v>-4.4483020505587537E-3</v>
      </c>
      <c r="CX224" s="24">
        <f t="shared" ca="1" si="267"/>
        <v>4.4483020505587537E-3</v>
      </c>
      <c r="CY224" s="24">
        <f t="shared" ca="1" si="268"/>
        <v>8.761807069282394E-3</v>
      </c>
      <c r="CZ224" s="24">
        <f t="shared" ca="1" si="269"/>
        <v>1.7008213722724645E-2</v>
      </c>
      <c r="DA224" s="24">
        <f t="shared" ca="1" si="270"/>
        <v>3.2126625920702111E-2</v>
      </c>
      <c r="DB224" s="24">
        <f t="shared" ca="1" si="271"/>
        <v>5.7827926657263794E-2</v>
      </c>
      <c r="DC224" s="24">
        <f t="shared" ca="1" si="272"/>
        <v>9.6379877762106325E-2</v>
      </c>
      <c r="DD224" s="24">
        <f t="shared" ca="1" si="273"/>
        <v>0.14456981664315949</v>
      </c>
      <c r="DF224" s="19" cm="1">
        <f t="array" aca="1" ref="DF224" ca="1">MAX(_xlfn._xlws.FILTER(CQ224:DD224,CQ224:DD224&lt;BJ224))</f>
        <v>-1.7008213722724645E-2</v>
      </c>
      <c r="DG224" s="19" cm="1">
        <f t="array" aca="1" ref="DG224" ca="1">MIN(_xlfn._xlws.FILTER(CQ224:DD224,CQ224:DD224&gt;BJ224))</f>
        <v>-8.761807069282394E-3</v>
      </c>
      <c r="DH224" s="2" cm="1">
        <f t="array" aca="1" ref="DH224" ca="1">_FV(EE224,"Fechamento anterior",TRUE)</f>
        <v>5.31</v>
      </c>
      <c r="DI224" s="36">
        <f t="shared" ca="1" si="251"/>
        <v>0.92064558357449122</v>
      </c>
      <c r="DJ224" s="18">
        <f t="shared" ca="1" si="274"/>
        <v>5.2196863851323316</v>
      </c>
      <c r="DK224" s="18">
        <f t="shared" ca="1" si="275"/>
        <v>5.2634748044621098</v>
      </c>
      <c r="DL224" s="9"/>
      <c r="DM224" s="9"/>
      <c r="DN224" s="9"/>
      <c r="DO224" s="9"/>
      <c r="DP224" s="79">
        <v>1.0855269391854756E-2</v>
      </c>
      <c r="DQ224" s="79">
        <v>3.3094963475586325E-2</v>
      </c>
      <c r="DR224" s="79">
        <v>1.8823529411764718E-2</v>
      </c>
      <c r="DS224" s="79">
        <f t="shared" ca="1" si="252"/>
        <v>8.2464066534422512E-3</v>
      </c>
      <c r="DT224" s="47"/>
      <c r="DU224" s="43">
        <f t="shared" si="253"/>
        <v>0.37325426990189953</v>
      </c>
      <c r="DV224" s="83">
        <f t="shared" ca="1" si="254"/>
        <v>2.1185999999999998</v>
      </c>
      <c r="DW224" s="83">
        <f t="shared" ca="1" si="255"/>
        <v>2.6341000000000001</v>
      </c>
      <c r="DX224" s="83">
        <f t="shared" ca="1" si="234"/>
        <v>-0.51550000000000029</v>
      </c>
      <c r="DY224" s="67"/>
      <c r="DZ224" s="67"/>
      <c r="EA224" s="85"/>
      <c r="EB224" s="44">
        <v>580300</v>
      </c>
      <c r="EC224" s="44" cm="1">
        <f t="array" aca="1" ref="EC224" ca="1">_FV(EE224,"Volume")</f>
        <v>245700</v>
      </c>
      <c r="EE224" s="2" t="e" vm="226">
        <v>#VALUE!</v>
      </c>
      <c r="EG224" s="10" cm="1">
        <f t="array" aca="1" ref="EG224" ca="1">_FV(EE224,"Ações em circulação",TRUE)</f>
        <v>140986900</v>
      </c>
      <c r="EH224" s="21">
        <f>VLOOKUP(BH224,Fundamentus!A:U,5,FALSE)</f>
        <v>0.28000000000000003</v>
      </c>
      <c r="EI224" s="2">
        <f t="shared" ca="1" si="256"/>
        <v>2648539621.4285712</v>
      </c>
      <c r="EJ224" s="20">
        <v>-110723558.39035712</v>
      </c>
      <c r="EK224" s="20">
        <f t="shared" ca="1" si="257"/>
        <v>-122097676.54785714</v>
      </c>
      <c r="EM224" s="40" t="str">
        <f>IF(VLOOKUP(BH224,Fundamentus!A:U,3,FALSE)&lt;15,"Bom",IF(VLOOKUP(BH224,Fundamentus!A:U,3,FALSE)&gt;15,"Ruim","n/a"))</f>
        <v>Bom</v>
      </c>
      <c r="EN224" s="36" t="str">
        <f>IF(VLOOKUP(BH224,Fundamentus!A:U,4,FALSE)&lt;1,"Baixo",IF(VLOOKUP(BH224,Fundamentus!A:U,4,FALSE)&lt;1.5,"Moderado",IF(VLOOKUP(BH224,Fundamentus!A:U,4,FALSE)&gt;1.5,"Alto","n/a")))</f>
        <v>Alto</v>
      </c>
      <c r="EO224" s="20" t="str">
        <f>IF(VLOOKUP(BH224,Fundamentus!A:U,8,FALSE)&lt;0,"Risco elevado",IF(VLOOKUP(BH224,Fundamentus!A:U,8,FALSE)&lt;1,"Saudável",IF(VLOOKUP(BH224,Fundamentus!A:U,8,FALSE)&lt;3,"Estável",IF(VLOOKUP(BH224,Fundamentus!A:U,8,FALSE)&gt;3,"Alerta","n/a"))))</f>
        <v>Risco elevado</v>
      </c>
      <c r="EP224" s="36" t="str">
        <f t="shared" si="258"/>
        <v>Ruim</v>
      </c>
      <c r="EQ224" s="20" t="str">
        <f>IF(VLOOKUP(BH224,Fundamentus!A:U,12,FALSE)&lt;2,"Subvalorizada",IF(VLOOKUP(BH224,Fundamentus!A:U,12,FALSE)&lt;6,"Muita barata",IF(VLOOKUP(BH224,Fundamentus!A:U,12,FALSE)&lt;6,"Barata",IF(VLOOKUP(BH224,Fundamentus!A:U,12,FALSE)&lt;8,"Atrativa",IF(VLOOKUP(BH224,Fundamentus!A:U,12,FALSE)&gt;8,"Supervalorizada","n/a")))))</f>
        <v>Atrativa</v>
      </c>
      <c r="ES224" s="20" t="str">
        <f>IF(VLOOKUP(BH224,Fundamentus!A:U,17,FALSE)&lt;0.1,"Fraco retorno",IF(VLOOKUP(BH224,Fundamentus!A:U,17,FALSE)&gt;0.1,"Bom retorno","n/a"))</f>
        <v>Fraco retorno</v>
      </c>
      <c r="ET224" s="20" t="str">
        <f>IF(VLOOKUP(BH224,Fundamentus!A:U,16,FALSE)&lt;0.1,"Ineficiente",IF(VLOOKUP(BH224,Fundamentus!A:U,16,FALSE)&gt;0.1,"Eficiente","n/a"))</f>
        <v>Ineficiente</v>
      </c>
      <c r="EU224" s="41" t="str">
        <f>IF(VLOOKUP(BH224,Fundamentus!A:U,16,FALSE)&lt;0.1,"Oper. Ineficiente",IF(VLOOKUP(BH224,Fundamentus!A:U,16,FALSE)&gt;0.1,"Oper.Eficiente","n/a"))</f>
        <v>Oper. Ineficiente</v>
      </c>
      <c r="EV224" s="42">
        <f>VLOOKUP(BH224,Fundamentus!A:U,14,FALSE)</f>
        <v>-4.6100000000000002E-2</v>
      </c>
      <c r="EW224" s="20" t="str">
        <f>IF(VLOOKUP(BH224,Fundamentus!A:U,21,FALSE)&lt;0,"Negativo",IF(VLOOKUP(BH224,Fundamentus!A:U,21,FALSE)&lt;0.05,"Fraco",IF(VLOOKUP(BH224,Fundamentus!A:U,21,FALSE)&lt;0.1,"Bom",IF(VLOOKUP(BH224,Fundamentus!A:U,21,FALSE)&gt;0.1,"Muito bom","n/a"))))</f>
        <v>Muito bom</v>
      </c>
      <c r="EY224" s="37" t="str">
        <f>IF(VLOOKUP(BH224,Fundamentus!A:U,15,FALSE)&gt;1,"Bom",IF(VLOOKUP(BH224,Fundamentus!A:U,15,FALSE)&lt;1,"Ruim","n/a"))</f>
        <v>Ruim</v>
      </c>
      <c r="EZ224" s="20" t="str">
        <f>IF(VLOOKUP(BH224,Fundamentus!A:U,20,FALSE)&lt;0.5,"Baixa",IF(VLOOKUP(BH224,Fundamentus!A:U,20,FALSE)&lt;1,"Moderada",IF(VLOOKUP(BH224,Fundamentus!A:U,20,FALSE)&lt;2,"Alerta",IF(VLOOKUP(BH224,Fundamentus!A:U,20,FALSE)&gt;2,"Alta","n/a"))))</f>
        <v>Alta</v>
      </c>
    </row>
    <row r="225" spans="1:156" s="2" customFormat="1" ht="11.25" hidden="1" x14ac:dyDescent="0.2">
      <c r="A225" s="4">
        <v>5.42</v>
      </c>
      <c r="B225" s="4">
        <v>4.4000000000000004</v>
      </c>
      <c r="C225" s="4">
        <v>3.1</v>
      </c>
      <c r="D225" s="4">
        <v>3.04</v>
      </c>
      <c r="E225" s="4">
        <v>2.85</v>
      </c>
      <c r="F225" s="4">
        <v>2.37</v>
      </c>
      <c r="G225" s="4">
        <v>2.14</v>
      </c>
      <c r="H225" s="4">
        <v>2.0299999999999998</v>
      </c>
      <c r="I225" s="4">
        <v>2.21</v>
      </c>
      <c r="J225" s="4">
        <v>2.85</v>
      </c>
      <c r="K225" s="4">
        <v>2.63</v>
      </c>
      <c r="L225" s="4">
        <v>2.37</v>
      </c>
      <c r="M225" s="4">
        <v>2.2000000000000002</v>
      </c>
      <c r="N225" s="4">
        <v>2.2000000000000002</v>
      </c>
      <c r="O225" s="4">
        <v>2.71</v>
      </c>
      <c r="P225" s="4">
        <v>2.0299999999999998</v>
      </c>
      <c r="Q225" s="4">
        <v>2.04</v>
      </c>
      <c r="R225" s="4">
        <v>1.9</v>
      </c>
      <c r="S225" s="4">
        <v>2.02</v>
      </c>
      <c r="T225" s="4">
        <v>2.2400000000000002</v>
      </c>
      <c r="U225" s="4">
        <v>1.93</v>
      </c>
      <c r="V225" s="4">
        <v>1.87</v>
      </c>
      <c r="W225" s="4">
        <v>1.8</v>
      </c>
      <c r="X225" s="4">
        <v>1.78</v>
      </c>
      <c r="Y225" s="4">
        <v>1.89</v>
      </c>
      <c r="Z225" s="4">
        <v>1.93</v>
      </c>
      <c r="AA225" s="4">
        <v>2.0699999999999998</v>
      </c>
      <c r="AB225" s="4">
        <v>2.37</v>
      </c>
      <c r="AC225" s="4">
        <v>1.93</v>
      </c>
      <c r="AD225" s="4">
        <v>1.95</v>
      </c>
      <c r="AE225" s="4">
        <v>1.98</v>
      </c>
      <c r="AF225" s="4">
        <v>1.85</v>
      </c>
      <c r="AG225" s="4">
        <v>1.89</v>
      </c>
      <c r="AH225" s="4">
        <v>1.98</v>
      </c>
      <c r="AI225" s="4">
        <v>2.12</v>
      </c>
      <c r="AJ225" s="4">
        <v>2.0499999999999998</v>
      </c>
      <c r="AK225" s="4">
        <v>1.93</v>
      </c>
      <c r="AL225" s="4">
        <v>1.9</v>
      </c>
      <c r="AM225" s="4">
        <v>1.76</v>
      </c>
      <c r="AN225" s="4">
        <v>1.66</v>
      </c>
      <c r="AO225" s="4">
        <v>1.38</v>
      </c>
      <c r="AP225" s="4">
        <v>1.6</v>
      </c>
      <c r="AQ225" s="4">
        <v>1.5</v>
      </c>
      <c r="AR225" s="4">
        <v>1.33</v>
      </c>
      <c r="AS225" s="4">
        <v>1.4</v>
      </c>
      <c r="AT225" s="4">
        <v>1.47</v>
      </c>
      <c r="AU225" s="4">
        <v>1.5049999999999999</v>
      </c>
      <c r="AV225" s="4">
        <v>1.38</v>
      </c>
      <c r="AW225" s="4">
        <v>1.29</v>
      </c>
      <c r="AX225" s="4">
        <v>1.27</v>
      </c>
      <c r="AY225" s="12">
        <v>1.25</v>
      </c>
      <c r="AZ225" s="12">
        <v>1.21</v>
      </c>
      <c r="BA225" s="12">
        <v>1.1499999999999999</v>
      </c>
      <c r="BB225" s="18">
        <v>1.1599999999999999</v>
      </c>
      <c r="BC225" s="63">
        <v>1.37</v>
      </c>
      <c r="BD225" s="63">
        <v>1.36</v>
      </c>
      <c r="BE225" s="63">
        <v>1.37</v>
      </c>
      <c r="BF225" s="63">
        <v>1.19</v>
      </c>
      <c r="BG225" s="91" cm="1">
        <f t="array" aca="1" ref="BG225" ca="1">_FV(EE225,"Preço")</f>
        <v>1.2</v>
      </c>
      <c r="BH225" s="93" t="s">
        <v>222</v>
      </c>
      <c r="BI225" s="32" cm="1">
        <f t="array" aca="1" ref="BI225" ca="1">_FV(EE225,"Beta")</f>
        <v>0.97699999999999998</v>
      </c>
      <c r="BJ225" s="96" cm="1">
        <f t="array" aca="1" ref="BJ225" ca="1">_FV(EE225,"Variação (%)",TRUE)</f>
        <v>-3.2258000000000002E-2</v>
      </c>
      <c r="BK225" s="49"/>
      <c r="BL225" s="49"/>
      <c r="BN225" s="32"/>
      <c r="BO225" s="20" cm="1">
        <f t="array" aca="1" ref="BO225" ca="1">_FV(EE225,"Baixo")</f>
        <v>1.2</v>
      </c>
      <c r="BP225" s="20" cm="1">
        <f t="array" aca="1" ref="BP225" ca="1">_FV(EE225,"Alto")</f>
        <v>1.24</v>
      </c>
      <c r="BQ225" s="32"/>
      <c r="BR225" s="74" t="e">
        <f ca="1">SQRT(22.5*(BG225/VLOOKUP(BH225,Fundamentus!A:U,3,FALSE))*(BG225/VLOOKUP(BH225,Fundamentus!A:U,4,FALSE)))</f>
        <v>#NUM!</v>
      </c>
      <c r="BT225" s="73">
        <f t="shared" ca="1" si="235"/>
        <v>8.4033613445378234E-3</v>
      </c>
      <c r="BU225" s="36">
        <f t="shared" si="236"/>
        <v>-0.74723247232472323</v>
      </c>
      <c r="BV225" s="8"/>
      <c r="BW225" s="72">
        <f t="shared" si="237"/>
        <v>1.1499999999999999</v>
      </c>
      <c r="BX225" s="72">
        <f t="shared" si="238"/>
        <v>1.992672413793104</v>
      </c>
      <c r="BY225" s="72">
        <f t="shared" si="239"/>
        <v>5.42</v>
      </c>
      <c r="BZ225" s="17"/>
      <c r="CA225" s="17"/>
      <c r="CB225" s="43">
        <f t="shared" si="240"/>
        <v>1.0426888704129855</v>
      </c>
      <c r="CC225" s="18">
        <f t="shared" si="241"/>
        <v>1.1959044048734313</v>
      </c>
      <c r="CD225" s="43">
        <f t="shared" si="242"/>
        <v>1.3491199393338771</v>
      </c>
      <c r="CE225" s="98">
        <f t="shared" ca="1" si="243"/>
        <v>2.6730939137414773E-2</v>
      </c>
      <c r="CF225" s="17"/>
      <c r="CG225" s="20">
        <f t="shared" si="244"/>
        <v>-4.5166666666666675</v>
      </c>
      <c r="CH225" s="20">
        <f t="shared" si="245"/>
        <v>-1.6833333333333331</v>
      </c>
      <c r="CI225" s="20">
        <f t="shared" si="246"/>
        <v>-0.24666666666666703</v>
      </c>
      <c r="CJ225" s="49">
        <f t="shared" si="247"/>
        <v>2.5866666666666664</v>
      </c>
      <c r="CK225" s="20">
        <f t="shared" si="248"/>
        <v>4.0233333333333334</v>
      </c>
      <c r="CL225" s="20">
        <f t="shared" si="249"/>
        <v>6.8566666666666656</v>
      </c>
      <c r="CM225" s="20">
        <f t="shared" si="250"/>
        <v>8.293333333333333</v>
      </c>
      <c r="CN225" s="2" cm="1">
        <f t="array" aca="1" ref="CN225" ca="1">MAX(_xlfn._xlws.FILTER(CG225:CM225,CG225:CM225&lt;BG225))</f>
        <v>-0.24666666666666703</v>
      </c>
      <c r="CO225" s="2" cm="1">
        <f t="array" aca="1" ref="CO225" ca="1">MIN(_xlfn._xlws.FILTER($CG225:$CM225,$CG225:$CM225&gt;BG225))</f>
        <v>2.5866666666666664</v>
      </c>
      <c r="CP225" s="19">
        <f t="shared" ca="1" si="259"/>
        <v>-11.48648648648647</v>
      </c>
      <c r="CQ225" s="23">
        <f t="shared" ca="1" si="260"/>
        <v>5.743243243243235</v>
      </c>
      <c r="CR225" s="23">
        <f t="shared" ca="1" si="261"/>
        <v>3.8288288288288235</v>
      </c>
      <c r="CS225" s="23">
        <f t="shared" ca="1" si="262"/>
        <v>2.2972972972972938</v>
      </c>
      <c r="CT225" s="23">
        <f t="shared" ca="1" si="263"/>
        <v>1.2762762762762745</v>
      </c>
      <c r="CU225" s="23">
        <f t="shared" ca="1" si="264"/>
        <v>0.67567567567567466</v>
      </c>
      <c r="CV225" s="23">
        <f t="shared" ca="1" si="265"/>
        <v>0.34807534807534757</v>
      </c>
      <c r="CW225" s="23">
        <f t="shared" ca="1" si="266"/>
        <v>0.17671517671517645</v>
      </c>
      <c r="CX225" s="24">
        <f t="shared" ca="1" si="267"/>
        <v>-0.17671517671517645</v>
      </c>
      <c r="CY225" s="24">
        <f t="shared" ca="1" si="268"/>
        <v>-0.34807534807534757</v>
      </c>
      <c r="CZ225" s="24">
        <f t="shared" ca="1" si="269"/>
        <v>-0.67567567567567466</v>
      </c>
      <c r="DA225" s="24">
        <f t="shared" ca="1" si="270"/>
        <v>-1.2762762762762745</v>
      </c>
      <c r="DB225" s="24">
        <f t="shared" ca="1" si="271"/>
        <v>-2.2972972972972938</v>
      </c>
      <c r="DC225" s="24">
        <f t="shared" ca="1" si="272"/>
        <v>-3.8288288288288235</v>
      </c>
      <c r="DD225" s="24">
        <f t="shared" ca="1" si="273"/>
        <v>-5.743243243243235</v>
      </c>
      <c r="DF225" s="19" cm="1">
        <f t="array" aca="1" ref="DF225" ca="1">MAX(_xlfn._xlws.FILTER(CQ225:DD225,CQ225:DD225&lt;BJ225))</f>
        <v>-0.17671517671517645</v>
      </c>
      <c r="DG225" s="19" cm="1">
        <f t="array" aca="1" ref="DG225" ca="1">MIN(_xlfn._xlws.FILTER(CQ225:DD225,CQ225:DD225&gt;BJ225))</f>
        <v>0.17671517671517645</v>
      </c>
      <c r="DH225" s="2" cm="1">
        <f t="array" aca="1" ref="DH225" ca="1">_FV(EE225,"Fechamento anterior",TRUE)</f>
        <v>1.24</v>
      </c>
      <c r="DI225" s="36">
        <f t="shared" ca="1" si="251"/>
        <v>0.40872865275142289</v>
      </c>
      <c r="DJ225" s="18">
        <f t="shared" ca="1" si="274"/>
        <v>1.0208731808731812</v>
      </c>
      <c r="DK225" s="18">
        <f t="shared" ca="1" si="275"/>
        <v>1.4591268191268187</v>
      </c>
      <c r="DL225" s="9"/>
      <c r="DM225" s="9"/>
      <c r="DN225" s="9"/>
      <c r="DO225" s="9"/>
      <c r="DP225" s="79">
        <v>0.32045028142589155</v>
      </c>
      <c r="DQ225" s="79">
        <v>0.32045028142589155</v>
      </c>
      <c r="DR225" s="79">
        <v>0.32045028142589155</v>
      </c>
      <c r="DS225" s="79">
        <f t="shared" ca="1" si="252"/>
        <v>0.35343035343035289</v>
      </c>
      <c r="DT225" s="47"/>
      <c r="DU225" s="43">
        <f t="shared" si="253"/>
        <v>7.6607767230222876E-2</v>
      </c>
      <c r="DV225" s="83">
        <f t="shared" ca="1" si="254"/>
        <v>1.4031</v>
      </c>
      <c r="DW225" s="83">
        <f t="shared" ca="1" si="255"/>
        <v>4.2027999999999999</v>
      </c>
      <c r="DX225" s="83">
        <f t="shared" ca="1" si="234"/>
        <v>-2.7996999999999996</v>
      </c>
      <c r="DY225" s="67"/>
      <c r="DZ225" s="67"/>
      <c r="EA225" s="85"/>
      <c r="EB225" s="44">
        <v>902100</v>
      </c>
      <c r="EC225" s="44" cm="1">
        <f t="array" aca="1" ref="EC225" ca="1">_FV(EE225,"Volume")</f>
        <v>657300</v>
      </c>
      <c r="EE225" s="2" t="e" vm="227">
        <v>#VALUE!</v>
      </c>
      <c r="EG225" s="10" cm="1">
        <f t="array" aca="1" ref="EG225" ca="1">_FV(EE225,"Ações em circulação",TRUE)</f>
        <v>322820600</v>
      </c>
      <c r="EH225" s="21">
        <f>VLOOKUP(BH225,Fundamentus!A:U,5,FALSE)</f>
        <v>3.4000000000000002E-2</v>
      </c>
      <c r="EI225" s="2">
        <f t="shared" ca="1" si="256"/>
        <v>11393668235.294117</v>
      </c>
      <c r="EJ225" s="20">
        <v>-1463184369.5</v>
      </c>
      <c r="EK225" s="20">
        <f t="shared" ca="1" si="257"/>
        <v>-1475480036.4705882</v>
      </c>
      <c r="EM225" s="40" t="str">
        <f>IF(VLOOKUP(BH225,Fundamentus!A:U,3,FALSE)&lt;15,"Bom",IF(VLOOKUP(BH225,Fundamentus!A:U,3,FALSE)&gt;15,"Ruim","n/a"))</f>
        <v>Bom</v>
      </c>
      <c r="EN225" s="36" t="str">
        <f>IF(VLOOKUP(BH225,Fundamentus!A:U,4,FALSE)&lt;1,"Baixo",IF(VLOOKUP(BH225,Fundamentus!A:U,4,FALSE)&lt;1.5,"Moderado",IF(VLOOKUP(BH225,Fundamentus!A:U,4,FALSE)&gt;1.5,"Alto","n/a")))</f>
        <v>Baixo</v>
      </c>
      <c r="EO225" s="20" t="str">
        <f>IF(VLOOKUP(BH225,Fundamentus!A:U,8,FALSE)&lt;0,"Risco elevado",IF(VLOOKUP(BH225,Fundamentus!A:U,8,FALSE)&lt;1,"Saudável",IF(VLOOKUP(BH225,Fundamentus!A:U,8,FALSE)&lt;3,"Estável",IF(VLOOKUP(BH225,Fundamentus!A:U,8,FALSE)&gt;3,"Alerta","n/a"))))</f>
        <v>Saudável</v>
      </c>
      <c r="EP225" s="36" t="str">
        <f t="shared" si="258"/>
        <v>Ruim</v>
      </c>
      <c r="EQ225" s="20" t="str">
        <f>IF(VLOOKUP(BH225,Fundamentus!A:U,12,FALSE)&lt;2,"Subvalorizada",IF(VLOOKUP(BH225,Fundamentus!A:U,12,FALSE)&lt;6,"Muita barata",IF(VLOOKUP(BH225,Fundamentus!A:U,12,FALSE)&lt;6,"Barata",IF(VLOOKUP(BH225,Fundamentus!A:U,12,FALSE)&lt;8,"Atrativa",IF(VLOOKUP(BH225,Fundamentus!A:U,12,FALSE)&gt;8,"Supervalorizada","n/a")))))</f>
        <v>Supervalorizada</v>
      </c>
      <c r="ES225" s="20" t="str">
        <f>IF(VLOOKUP(BH225,Fundamentus!A:U,17,FALSE)&lt;0.1,"Fraco retorno",IF(VLOOKUP(BH225,Fundamentus!A:U,17,FALSE)&gt;0.1,"Bom retorno","n/a"))</f>
        <v>Fraco retorno</v>
      </c>
      <c r="ET225" s="20" t="str">
        <f>IF(VLOOKUP(BH225,Fundamentus!A:U,16,FALSE)&lt;0.1,"Ineficiente",IF(VLOOKUP(BH225,Fundamentus!A:U,16,FALSE)&gt;0.1,"Eficiente","n/a"))</f>
        <v>Ineficiente</v>
      </c>
      <c r="EU225" s="41" t="str">
        <f>IF(VLOOKUP(BH225,Fundamentus!A:U,16,FALSE)&lt;0.1,"Oper. Ineficiente",IF(VLOOKUP(BH225,Fundamentus!A:U,16,FALSE)&gt;0.1,"Oper.Eficiente","n/a"))</f>
        <v>Oper. Ineficiente</v>
      </c>
      <c r="EV225" s="42">
        <f>VLOOKUP(BH225,Fundamentus!A:U,14,FALSE)</f>
        <v>-0.1295</v>
      </c>
      <c r="EW225" s="20" t="str">
        <f>IF(VLOOKUP(BH225,Fundamentus!A:U,21,FALSE)&lt;0,"Negativo",IF(VLOOKUP(BH225,Fundamentus!A:U,21,FALSE)&lt;0.05,"Fraco",IF(VLOOKUP(BH225,Fundamentus!A:U,21,FALSE)&lt;0.1,"Bom",IF(VLOOKUP(BH225,Fundamentus!A:U,21,FALSE)&gt;0.1,"Muito bom","n/a"))))</f>
        <v>Muito bom</v>
      </c>
      <c r="EY225" s="37" t="str">
        <f>IF(VLOOKUP(BH225,Fundamentus!A:U,15,FALSE)&gt;1,"Bom",IF(VLOOKUP(BH225,Fundamentus!A:U,15,FALSE)&lt;1,"Ruim","n/a"))</f>
        <v>Bom</v>
      </c>
      <c r="EZ225" s="20" t="str">
        <f>IF(VLOOKUP(BH225,Fundamentus!A:U,20,FALSE)&lt;0.5,"Baixa",IF(VLOOKUP(BH225,Fundamentus!A:U,20,FALSE)&lt;1,"Moderada",IF(VLOOKUP(BH225,Fundamentus!A:U,20,FALSE)&lt;2,"Alerta",IF(VLOOKUP(BH225,Fundamentus!A:U,20,FALSE)&gt;2,"Alta","n/a"))))</f>
        <v>Alta</v>
      </c>
    </row>
    <row r="226" spans="1:156" s="2" customFormat="1" ht="11.25" hidden="1" x14ac:dyDescent="0.2">
      <c r="A226" s="4">
        <v>5.39</v>
      </c>
      <c r="B226" s="4">
        <v>5.18</v>
      </c>
      <c r="C226" s="4">
        <v>5.03</v>
      </c>
      <c r="D226" s="4">
        <v>4.78</v>
      </c>
      <c r="E226" s="4">
        <v>4.5</v>
      </c>
      <c r="F226" s="4">
        <v>4.4000000000000004</v>
      </c>
      <c r="G226" s="4">
        <v>4.7699999999999996</v>
      </c>
      <c r="H226" s="4">
        <v>5.16</v>
      </c>
      <c r="I226" s="4">
        <v>5.09</v>
      </c>
      <c r="J226" s="4">
        <v>5.58</v>
      </c>
      <c r="K226" s="4">
        <v>6</v>
      </c>
      <c r="L226" s="4">
        <v>5.6</v>
      </c>
      <c r="M226" s="4">
        <v>5.56</v>
      </c>
      <c r="N226" s="4">
        <v>5.35</v>
      </c>
      <c r="O226" s="4">
        <v>5.4</v>
      </c>
      <c r="P226" s="4">
        <v>5.16</v>
      </c>
      <c r="Q226" s="4">
        <v>5.29</v>
      </c>
      <c r="R226" s="4">
        <v>5.37</v>
      </c>
      <c r="S226" s="4">
        <v>5.08</v>
      </c>
      <c r="T226" s="4">
        <v>5.09</v>
      </c>
      <c r="U226" s="4">
        <v>4.6500000000000004</v>
      </c>
      <c r="V226" s="4">
        <v>4.84</v>
      </c>
      <c r="W226" s="4">
        <v>4.6100000000000003</v>
      </c>
      <c r="X226" s="4">
        <v>4.51</v>
      </c>
      <c r="Y226" s="4">
        <v>4.32</v>
      </c>
      <c r="Z226" s="4">
        <v>4.5999999999999996</v>
      </c>
      <c r="AA226" s="4">
        <v>4.38</v>
      </c>
      <c r="AB226" s="4">
        <v>4.41</v>
      </c>
      <c r="AC226" s="4">
        <v>4.26</v>
      </c>
      <c r="AD226" s="4">
        <v>4.25</v>
      </c>
      <c r="AE226" s="4">
        <v>4.07</v>
      </c>
      <c r="AF226" s="4">
        <v>3.81</v>
      </c>
      <c r="AG226" s="4">
        <v>3.45</v>
      </c>
      <c r="AH226" s="4">
        <v>2.94</v>
      </c>
      <c r="AI226" s="4">
        <v>3</v>
      </c>
      <c r="AJ226" s="4">
        <v>2.97</v>
      </c>
      <c r="AK226" s="4">
        <v>2.88</v>
      </c>
      <c r="AL226" s="4">
        <v>3</v>
      </c>
      <c r="AM226" s="4">
        <v>3.02</v>
      </c>
      <c r="AN226" s="4">
        <v>3.22</v>
      </c>
      <c r="AO226" s="4">
        <v>2.96</v>
      </c>
      <c r="AP226" s="4">
        <v>3.09</v>
      </c>
      <c r="AQ226" s="4">
        <v>2.96</v>
      </c>
      <c r="AR226" s="4">
        <v>2.74</v>
      </c>
      <c r="AS226" s="4">
        <v>2.69</v>
      </c>
      <c r="AT226" s="4">
        <v>3</v>
      </c>
      <c r="AU226" s="4">
        <v>3.2149999999999999</v>
      </c>
      <c r="AV226" s="4">
        <v>3.47</v>
      </c>
      <c r="AW226" s="4">
        <v>3.42</v>
      </c>
      <c r="AX226" s="4">
        <v>3.67</v>
      </c>
      <c r="AY226" s="12">
        <v>3.61</v>
      </c>
      <c r="AZ226" s="12">
        <v>3.75</v>
      </c>
      <c r="BA226" s="12">
        <v>3.68</v>
      </c>
      <c r="BB226" s="18">
        <v>3.77</v>
      </c>
      <c r="BC226" s="63">
        <v>3.83</v>
      </c>
      <c r="BD226" s="63">
        <v>3.43</v>
      </c>
      <c r="BE226" s="63">
        <v>3.49</v>
      </c>
      <c r="BF226" s="63">
        <v>3.52</v>
      </c>
      <c r="BG226" s="91" cm="1">
        <f t="array" aca="1" ref="BG226" ca="1">_FV(EE226,"Preço")</f>
        <v>3.53</v>
      </c>
      <c r="BH226" s="93" t="s">
        <v>223</v>
      </c>
      <c r="BI226" s="32" cm="1">
        <f t="array" aca="1" ref="BI226" ca="1">_FV(EE226,"Beta")</f>
        <v>1.4432</v>
      </c>
      <c r="BJ226" s="96" cm="1">
        <f t="array" aca="1" ref="BJ226" ca="1">_FV(EE226,"Variação (%)",TRUE)</f>
        <v>-5.6340000000000001E-3</v>
      </c>
      <c r="BK226" s="49"/>
      <c r="BL226" s="49"/>
      <c r="BN226" s="32"/>
      <c r="BO226" s="20" cm="1">
        <f t="array" aca="1" ref="BO226" ca="1">_FV(EE226,"Baixo")</f>
        <v>3.45</v>
      </c>
      <c r="BP226" s="20" cm="1">
        <f t="array" aca="1" ref="BP226" ca="1">_FV(EE226,"Alto")</f>
        <v>3.67</v>
      </c>
      <c r="BQ226" s="32"/>
      <c r="BR226" s="74">
        <f ca="1">SQRT(22.5*(BG226/VLOOKUP(BH226,Fundamentus!A:U,3,FALSE))*(BG226/VLOOKUP(BH226,Fundamentus!A:U,4,FALSE)))</f>
        <v>12.162294808330719</v>
      </c>
      <c r="BT226" s="73">
        <f t="shared" ca="1" si="235"/>
        <v>2.8409090909090303E-3</v>
      </c>
      <c r="BU226" s="36">
        <f t="shared" si="236"/>
        <v>-0.35250463821892386</v>
      </c>
      <c r="BV226" s="8"/>
      <c r="BW226" s="72">
        <f t="shared" si="237"/>
        <v>2.69</v>
      </c>
      <c r="BX226" s="72">
        <f t="shared" si="238"/>
        <v>4.1597413793103453</v>
      </c>
      <c r="BY226" s="72">
        <f t="shared" si="239"/>
        <v>6</v>
      </c>
      <c r="BZ226" s="17"/>
      <c r="CA226" s="17"/>
      <c r="CB226" s="43">
        <f t="shared" si="240"/>
        <v>3.037453633544597</v>
      </c>
      <c r="CC226" s="18">
        <f t="shared" si="241"/>
        <v>3.3474133083411743</v>
      </c>
      <c r="CD226" s="43">
        <f t="shared" si="242"/>
        <v>3.6573729831377517</v>
      </c>
      <c r="CE226" s="98">
        <f t="shared" ca="1" si="243"/>
        <v>0.58906595439763187</v>
      </c>
      <c r="CF226" s="17"/>
      <c r="CG226" s="20">
        <f t="shared" si="244"/>
        <v>-1.1700000000000013</v>
      </c>
      <c r="CH226" s="20">
        <f t="shared" si="245"/>
        <v>0.75999999999999934</v>
      </c>
      <c r="CI226" s="20">
        <f t="shared" si="246"/>
        <v>2.1399999999999988</v>
      </c>
      <c r="CJ226" s="49">
        <f t="shared" si="247"/>
        <v>4.0699999999999994</v>
      </c>
      <c r="CK226" s="20">
        <f t="shared" si="248"/>
        <v>5.4499999999999993</v>
      </c>
      <c r="CL226" s="20">
        <f t="shared" si="249"/>
        <v>7.379999999999999</v>
      </c>
      <c r="CM226" s="20">
        <f t="shared" si="250"/>
        <v>8.759999999999998</v>
      </c>
      <c r="CN226" s="2" cm="1">
        <f t="array" aca="1" ref="CN226" ca="1">MAX(_xlfn._xlws.FILTER(CG226:CM226,CG226:CM226&lt;BG226))</f>
        <v>2.1399999999999988</v>
      </c>
      <c r="CO226" s="2" cm="1">
        <f t="array" aca="1" ref="CO226" ca="1">MIN(_xlfn._xlws.FILTER($CG226:$CM226,$CG226:$CM226&gt;BG226))</f>
        <v>4.0699999999999994</v>
      </c>
      <c r="CP226" s="19">
        <f t="shared" ca="1" si="259"/>
        <v>0.90186915887850549</v>
      </c>
      <c r="CQ226" s="23">
        <f t="shared" ca="1" si="260"/>
        <v>-0.45093457943925275</v>
      </c>
      <c r="CR226" s="23">
        <f t="shared" ca="1" si="261"/>
        <v>-0.30062305295950181</v>
      </c>
      <c r="CS226" s="23">
        <f t="shared" ca="1" si="262"/>
        <v>-0.1803738317757011</v>
      </c>
      <c r="CT226" s="23">
        <f t="shared" ca="1" si="263"/>
        <v>-0.10020768431983394</v>
      </c>
      <c r="CU226" s="23">
        <f t="shared" ca="1" si="264"/>
        <v>-5.3051126992853262E-2</v>
      </c>
      <c r="CV226" s="23">
        <f t="shared" ca="1" si="265"/>
        <v>-2.7329368450863804E-2</v>
      </c>
      <c r="CW226" s="23">
        <f t="shared" ca="1" si="266"/>
        <v>-1.3874910136592393E-2</v>
      </c>
      <c r="CX226" s="24">
        <f t="shared" ca="1" si="267"/>
        <v>1.3874910136592393E-2</v>
      </c>
      <c r="CY226" s="24">
        <f t="shared" ca="1" si="268"/>
        <v>2.7329368450863804E-2</v>
      </c>
      <c r="CZ226" s="24">
        <f t="shared" ca="1" si="269"/>
        <v>5.3051126992853262E-2</v>
      </c>
      <c r="DA226" s="24">
        <f t="shared" ca="1" si="270"/>
        <v>0.10020768431983394</v>
      </c>
      <c r="DB226" s="24">
        <f t="shared" ca="1" si="271"/>
        <v>0.1803738317757011</v>
      </c>
      <c r="DC226" s="24">
        <f t="shared" ca="1" si="272"/>
        <v>0.30062305295950181</v>
      </c>
      <c r="DD226" s="24">
        <f t="shared" ca="1" si="273"/>
        <v>0.45093457943925275</v>
      </c>
      <c r="DF226" s="19" cm="1">
        <f t="array" aca="1" ref="DF226" ca="1">MAX(_xlfn._xlws.FILTER(CQ226:DD226,CQ226:DD226&lt;BJ226))</f>
        <v>-1.3874910136592393E-2</v>
      </c>
      <c r="DG226" s="19" cm="1">
        <f t="array" aca="1" ref="DG226" ca="1">MIN(_xlfn._xlws.FILTER(CQ226:DD226,CQ226:DD226&gt;BJ226))</f>
        <v>1.3874910136592393E-2</v>
      </c>
      <c r="DH226" s="2" cm="1">
        <f t="array" aca="1" ref="DH226" ca="1">_FV(EE226,"Fechamento anterior",TRUE)</f>
        <v>3.55</v>
      </c>
      <c r="DI226" s="36">
        <f t="shared" ca="1" si="251"/>
        <v>0.296978763774356</v>
      </c>
      <c r="DJ226" s="18">
        <f t="shared" ca="1" si="274"/>
        <v>3.5007440690150968</v>
      </c>
      <c r="DK226" s="18">
        <f t="shared" ca="1" si="275"/>
        <v>3.5992559309849028</v>
      </c>
      <c r="DL226" s="9"/>
      <c r="DM226" s="9"/>
      <c r="DN226" s="9"/>
      <c r="DO226" s="9"/>
      <c r="DP226" s="79">
        <v>1.1003972097070765E-2</v>
      </c>
      <c r="DQ226" s="79">
        <v>5.7559238661600929E-3</v>
      </c>
      <c r="DR226" s="79">
        <v>2.0173948844629742E-2</v>
      </c>
      <c r="DS226" s="79">
        <f t="shared" ca="1" si="252"/>
        <v>2.7749820273184785E-2</v>
      </c>
      <c r="DT226" s="47"/>
      <c r="DU226" s="43">
        <f t="shared" si="253"/>
        <v>0.15497983739828866</v>
      </c>
      <c r="DV226" s="83">
        <f t="shared" ca="1" si="254"/>
        <v>1.8693</v>
      </c>
      <c r="DW226" s="83">
        <f t="shared" ca="1" si="255"/>
        <v>2.0066000000000002</v>
      </c>
      <c r="DX226" s="83">
        <f t="shared" ca="1" si="234"/>
        <v>-0.1373000000000002</v>
      </c>
      <c r="DY226" s="67"/>
      <c r="DZ226" s="67"/>
      <c r="EA226" s="85"/>
      <c r="EB226" s="44">
        <v>275100</v>
      </c>
      <c r="EC226" s="44" cm="1">
        <f t="array" aca="1" ref="EC226" ca="1">_FV(EE226,"Volume")</f>
        <v>606100</v>
      </c>
      <c r="EE226" s="2" t="e" vm="228">
        <v>#VALUE!</v>
      </c>
      <c r="EG226" s="10" cm="1">
        <f t="array" aca="1" ref="EG226" ca="1">_FV(EE226,"Ações em circulação",TRUE)</f>
        <v>103189000</v>
      </c>
      <c r="EH226" s="21">
        <f>VLOOKUP(BH226,Fundamentus!A:U,5,FALSE)</f>
        <v>2.1859999999999999</v>
      </c>
      <c r="EI226" s="2">
        <f t="shared" ca="1" si="256"/>
        <v>166631825.2516011</v>
      </c>
      <c r="EJ226" s="20">
        <v>117890364.20860019</v>
      </c>
      <c r="EK226" s="20">
        <f t="shared" ca="1" si="257"/>
        <v>118225280.01601098</v>
      </c>
      <c r="EM226" s="40" t="str">
        <f>IF(VLOOKUP(BH226,Fundamentus!A:U,3,FALSE)&lt;15,"Bom",IF(VLOOKUP(BH226,Fundamentus!A:U,3,FALSE)&gt;15,"Ruim","n/a"))</f>
        <v>Bom</v>
      </c>
      <c r="EN226" s="36" t="str">
        <f>IF(VLOOKUP(BH226,Fundamentus!A:U,4,FALSE)&lt;1,"Baixo",IF(VLOOKUP(BH226,Fundamentus!A:U,4,FALSE)&lt;1.5,"Moderado",IF(VLOOKUP(BH226,Fundamentus!A:U,4,FALSE)&gt;1.5,"Alto","n/a")))</f>
        <v>Baixo</v>
      </c>
      <c r="EO226" s="20" t="str">
        <f>IF(VLOOKUP(BH226,Fundamentus!A:U,8,FALSE)&lt;0,"Risco elevado",IF(VLOOKUP(BH226,Fundamentus!A:U,8,FALSE)&lt;1,"Saudável",IF(VLOOKUP(BH226,Fundamentus!A:U,8,FALSE)&lt;3,"Estável",IF(VLOOKUP(BH226,Fundamentus!A:U,8,FALSE)&gt;3,"Alerta","n/a"))))</f>
        <v>Estável</v>
      </c>
      <c r="EP226" s="36" t="str">
        <f t="shared" si="258"/>
        <v>Bom</v>
      </c>
      <c r="EQ226" s="20" t="str">
        <f>IF(VLOOKUP(BH226,Fundamentus!A:U,12,FALSE)&lt;2,"Subvalorizada",IF(VLOOKUP(BH226,Fundamentus!A:U,12,FALSE)&lt;6,"Muita barata",IF(VLOOKUP(BH226,Fundamentus!A:U,12,FALSE)&lt;6,"Barata",IF(VLOOKUP(BH226,Fundamentus!A:U,12,FALSE)&lt;8,"Atrativa",IF(VLOOKUP(BH226,Fundamentus!A:U,12,FALSE)&gt;8,"Supervalorizada","n/a")))))</f>
        <v>Atrativa</v>
      </c>
      <c r="ES226" s="20" t="str">
        <f>IF(VLOOKUP(BH226,Fundamentus!A:U,17,FALSE)&lt;0.1,"Fraco retorno",IF(VLOOKUP(BH226,Fundamentus!A:U,17,FALSE)&gt;0.1,"Bom retorno","n/a"))</f>
        <v>Fraco retorno</v>
      </c>
      <c r="ET226" s="20" t="str">
        <f>IF(VLOOKUP(BH226,Fundamentus!A:U,16,FALSE)&lt;0.1,"Ineficiente",IF(VLOOKUP(BH226,Fundamentus!A:U,16,FALSE)&gt;0.1,"Eficiente","n/a"))</f>
        <v>Ineficiente</v>
      </c>
      <c r="EU226" s="41" t="str">
        <f>IF(VLOOKUP(BH226,Fundamentus!A:U,16,FALSE)&lt;0.1,"Oper. Ineficiente",IF(VLOOKUP(BH226,Fundamentus!A:U,16,FALSE)&gt;0.1,"Oper.Eficiente","n/a"))</f>
        <v>Oper. Ineficiente</v>
      </c>
      <c r="EV226" s="42">
        <f>VLOOKUP(BH226,Fundamentus!A:U,14,FALSE)</f>
        <v>0.70950000000000002</v>
      </c>
      <c r="EW226" s="20" t="str">
        <f>IF(VLOOKUP(BH226,Fundamentus!A:U,21,FALSE)&lt;0,"Negativo",IF(VLOOKUP(BH226,Fundamentus!A:U,21,FALSE)&lt;0.05,"Fraco",IF(VLOOKUP(BH226,Fundamentus!A:U,21,FALSE)&lt;0.1,"Bom",IF(VLOOKUP(BH226,Fundamentus!A:U,21,FALSE)&gt;0.1,"Muito bom","n/a"))))</f>
        <v>Muito bom</v>
      </c>
      <c r="EY226" s="37" t="str">
        <f>IF(VLOOKUP(BH226,Fundamentus!A:U,15,FALSE)&gt;1,"Bom",IF(VLOOKUP(BH226,Fundamentus!A:U,15,FALSE)&lt;1,"Ruim","n/a"))</f>
        <v>Bom</v>
      </c>
      <c r="EZ226" s="20" t="str">
        <f>IF(VLOOKUP(BH226,Fundamentus!A:U,20,FALSE)&lt;0.5,"Baixa",IF(VLOOKUP(BH226,Fundamentus!A:U,20,FALSE)&lt;1,"Moderada",IF(VLOOKUP(BH226,Fundamentus!A:U,20,FALSE)&lt;2,"Alerta",IF(VLOOKUP(BH226,Fundamentus!A:U,20,FALSE)&gt;2,"Alta","n/a"))))</f>
        <v>Moderada</v>
      </c>
    </row>
    <row r="227" spans="1:156" s="2" customFormat="1" ht="11.25" hidden="1" x14ac:dyDescent="0.2">
      <c r="A227" s="4">
        <v>3.62</v>
      </c>
      <c r="B227" s="4">
        <v>3.57</v>
      </c>
      <c r="C227" s="4">
        <v>3.48</v>
      </c>
      <c r="D227" s="4">
        <v>3.41</v>
      </c>
      <c r="E227" s="4">
        <v>3.24</v>
      </c>
      <c r="F227" s="4">
        <v>3.35</v>
      </c>
      <c r="G227" s="4">
        <v>3.25</v>
      </c>
      <c r="H227" s="4">
        <v>3.08</v>
      </c>
      <c r="I227" s="4">
        <v>3.06</v>
      </c>
      <c r="J227" s="4">
        <v>3.08</v>
      </c>
      <c r="K227" s="4">
        <v>3.12</v>
      </c>
      <c r="L227" s="4">
        <v>3.14</v>
      </c>
      <c r="M227" s="4">
        <v>3.1</v>
      </c>
      <c r="N227" s="4">
        <v>3.23</v>
      </c>
      <c r="O227" s="4">
        <v>3.04</v>
      </c>
      <c r="P227" s="4">
        <v>3.14</v>
      </c>
      <c r="Q227" s="4">
        <v>3.27</v>
      </c>
      <c r="R227" s="4">
        <v>3.3</v>
      </c>
      <c r="S227" s="4">
        <v>3.26</v>
      </c>
      <c r="T227" s="4">
        <v>3.12</v>
      </c>
      <c r="U227" s="4">
        <v>3.18</v>
      </c>
      <c r="V227" s="4">
        <v>3.11</v>
      </c>
      <c r="W227" s="4">
        <v>3.1</v>
      </c>
      <c r="X227" s="4">
        <v>3.18</v>
      </c>
      <c r="Y227" s="4">
        <v>3.08</v>
      </c>
      <c r="Z227" s="4">
        <v>3.08</v>
      </c>
      <c r="AA227" s="4">
        <v>3.02</v>
      </c>
      <c r="AB227" s="4">
        <v>2.8</v>
      </c>
      <c r="AC227" s="4">
        <v>2.78</v>
      </c>
      <c r="AD227" s="4">
        <v>2.79</v>
      </c>
      <c r="AE227" s="4">
        <v>2.56</v>
      </c>
      <c r="AF227" s="4">
        <v>2.44</v>
      </c>
      <c r="AG227" s="4">
        <v>2.31</v>
      </c>
      <c r="AH227" s="4">
        <v>2.15</v>
      </c>
      <c r="AI227" s="4">
        <v>2.1</v>
      </c>
      <c r="AJ227" s="4">
        <v>2.12</v>
      </c>
      <c r="AK227" s="4">
        <v>2.27</v>
      </c>
      <c r="AL227" s="4">
        <v>2.33</v>
      </c>
      <c r="AM227" s="4">
        <v>2.29</v>
      </c>
      <c r="AN227" s="4">
        <v>2.25</v>
      </c>
      <c r="AO227" s="4">
        <v>2.56</v>
      </c>
      <c r="AP227" s="4">
        <v>2.46</v>
      </c>
      <c r="AQ227" s="4">
        <v>2.64</v>
      </c>
      <c r="AR227" s="4">
        <v>2.4900000000000002</v>
      </c>
      <c r="AS227" s="4">
        <v>2.63</v>
      </c>
      <c r="AT227" s="4">
        <v>2.7</v>
      </c>
      <c r="AU227" s="4">
        <v>2.56</v>
      </c>
      <c r="AV227" s="4">
        <v>2.67</v>
      </c>
      <c r="AW227" s="4">
        <v>2.48</v>
      </c>
      <c r="AX227" s="4">
        <v>2.61</v>
      </c>
      <c r="AY227" s="12">
        <v>2.58</v>
      </c>
      <c r="AZ227" s="12">
        <v>2.68</v>
      </c>
      <c r="BA227" s="12">
        <v>3</v>
      </c>
      <c r="BB227" s="18">
        <v>2.94</v>
      </c>
      <c r="BC227" s="63">
        <v>2.83</v>
      </c>
      <c r="BD227" s="63">
        <v>2.59</v>
      </c>
      <c r="BE227" s="63">
        <v>2.69</v>
      </c>
      <c r="BF227" s="63">
        <v>2.71</v>
      </c>
      <c r="BG227" s="91" cm="1">
        <f t="array" aca="1" ref="BG227" ca="1">_FV(EE227,"Preço")</f>
        <v>2.52</v>
      </c>
      <c r="BH227" s="93" t="s">
        <v>224</v>
      </c>
      <c r="BI227" s="32" cm="1">
        <f t="array" aca="1" ref="BI227" ca="1">_FV(EE227,"Beta")</f>
        <v>0.70040000000000002</v>
      </c>
      <c r="BJ227" s="96" cm="1">
        <f t="array" aca="1" ref="BJ227" ca="1">_FV(EE227,"Variação (%)",TRUE)</f>
        <v>-2.7027000000000002E-2</v>
      </c>
      <c r="BK227" s="49"/>
      <c r="BL227" s="49"/>
      <c r="BN227" s="32"/>
      <c r="BO227" s="20" cm="1">
        <f t="array" aca="1" ref="BO227" ca="1">_FV(EE227,"Baixo")</f>
        <v>2.5</v>
      </c>
      <c r="BP227" s="20" cm="1">
        <f t="array" aca="1" ref="BP227" ca="1">_FV(EE227,"Alto")</f>
        <v>2.59</v>
      </c>
      <c r="BQ227" s="32"/>
      <c r="BR227" s="74" t="e">
        <f ca="1">SQRT(22.5*(BG227/VLOOKUP(BH227,Fundamentus!A:U,3,FALSE))*(BG227/VLOOKUP(BH227,Fundamentus!A:U,4,FALSE)))</f>
        <v>#NUM!</v>
      </c>
      <c r="BT227" s="73">
        <f t="shared" ca="1" si="235"/>
        <v>-7.011070110701105E-2</v>
      </c>
      <c r="BU227" s="36">
        <f t="shared" si="236"/>
        <v>-0.25690607734806631</v>
      </c>
      <c r="BV227" s="8"/>
      <c r="BW227" s="72">
        <f t="shared" si="237"/>
        <v>2.1</v>
      </c>
      <c r="BX227" s="72">
        <f t="shared" si="238"/>
        <v>2.8555172413793111</v>
      </c>
      <c r="BY227" s="72">
        <f t="shared" si="239"/>
        <v>3.62</v>
      </c>
      <c r="BZ227" s="17"/>
      <c r="CA227" s="17"/>
      <c r="CB227" s="43">
        <f t="shared" si="240"/>
        <v>2.4655421134906126</v>
      </c>
      <c r="CC227" s="18">
        <f t="shared" si="241"/>
        <v>2.6361293345829324</v>
      </c>
      <c r="CD227" s="43">
        <f t="shared" si="242"/>
        <v>2.8067165556752522</v>
      </c>
      <c r="CE227" s="98">
        <f t="shared" ca="1" si="243"/>
        <v>-0.68076221559459338</v>
      </c>
      <c r="CF227" s="17"/>
      <c r="CG227" s="20">
        <f t="shared" si="244"/>
        <v>0.48</v>
      </c>
      <c r="CH227" s="20">
        <f t="shared" si="245"/>
        <v>1.29</v>
      </c>
      <c r="CI227" s="20">
        <f t="shared" si="246"/>
        <v>2</v>
      </c>
      <c r="CJ227" s="49">
        <f t="shared" si="247"/>
        <v>2.81</v>
      </c>
      <c r="CK227" s="20">
        <f t="shared" si="248"/>
        <v>3.52</v>
      </c>
      <c r="CL227" s="20">
        <f t="shared" si="249"/>
        <v>4.33</v>
      </c>
      <c r="CM227" s="20">
        <f t="shared" si="250"/>
        <v>5.04</v>
      </c>
      <c r="CN227" s="2" cm="1">
        <f t="array" aca="1" ref="CN227" ca="1">MAX(_xlfn._xlws.FILTER(CG227:CM227,CG227:CM227&lt;BG227))</f>
        <v>2</v>
      </c>
      <c r="CO227" s="2" cm="1">
        <f t="array" aca="1" ref="CO227" ca="1">MIN(_xlfn._xlws.FILTER($CG227:$CM227,$CG227:$CM227&gt;BG227))</f>
        <v>2.81</v>
      </c>
      <c r="CP227" s="19">
        <f t="shared" ca="1" si="259"/>
        <v>0.40500000000000003</v>
      </c>
      <c r="CQ227" s="23">
        <f t="shared" ca="1" si="260"/>
        <v>-0.20250000000000001</v>
      </c>
      <c r="CR227" s="23">
        <f t="shared" ca="1" si="261"/>
        <v>-0.13500000000000001</v>
      </c>
      <c r="CS227" s="23">
        <f t="shared" ca="1" si="262"/>
        <v>-8.1000000000000003E-2</v>
      </c>
      <c r="CT227" s="23">
        <f t="shared" ca="1" si="263"/>
        <v>-4.5000000000000005E-2</v>
      </c>
      <c r="CU227" s="23">
        <f t="shared" ca="1" si="264"/>
        <v>-2.3823529411764709E-2</v>
      </c>
      <c r="CV227" s="23">
        <f t="shared" ca="1" si="265"/>
        <v>-1.2272727272727274E-2</v>
      </c>
      <c r="CW227" s="23">
        <f t="shared" ca="1" si="266"/>
        <v>-6.2307692307692316E-3</v>
      </c>
      <c r="CX227" s="24">
        <f t="shared" ca="1" si="267"/>
        <v>6.2307692307692316E-3</v>
      </c>
      <c r="CY227" s="24">
        <f t="shared" ca="1" si="268"/>
        <v>1.2272727272727274E-2</v>
      </c>
      <c r="CZ227" s="24">
        <f t="shared" ca="1" si="269"/>
        <v>2.3823529411764709E-2</v>
      </c>
      <c r="DA227" s="24">
        <f t="shared" ca="1" si="270"/>
        <v>4.5000000000000005E-2</v>
      </c>
      <c r="DB227" s="24">
        <f t="shared" ca="1" si="271"/>
        <v>8.1000000000000003E-2</v>
      </c>
      <c r="DC227" s="24">
        <f t="shared" ca="1" si="272"/>
        <v>0.13500000000000001</v>
      </c>
      <c r="DD227" s="24">
        <f t="shared" ca="1" si="273"/>
        <v>0.20250000000000001</v>
      </c>
      <c r="DF227" s="19" cm="1">
        <f t="array" aca="1" ref="DF227" ca="1">MAX(_xlfn._xlws.FILTER(CQ227:DD227,CQ227:DD227&lt;BJ227))</f>
        <v>-4.5000000000000005E-2</v>
      </c>
      <c r="DG227" s="19" cm="1">
        <f t="array" aca="1" ref="DG227" ca="1">MIN(_xlfn._xlws.FILTER(CQ227:DD227,CQ227:DD227&gt;BJ227))</f>
        <v>-2.3823529411764709E-2</v>
      </c>
      <c r="DH227" s="2" cm="1">
        <f t="array" aca="1" ref="DH227" ca="1">_FV(EE227,"Fechamento anterior",TRUE)</f>
        <v>2.59</v>
      </c>
      <c r="DI227" s="36">
        <f t="shared" ca="1" si="251"/>
        <v>0.84872372372372507</v>
      </c>
      <c r="DJ227" s="18">
        <f t="shared" ca="1" si="274"/>
        <v>2.4734499999999997</v>
      </c>
      <c r="DK227" s="18">
        <f t="shared" ca="1" si="275"/>
        <v>2.5282970588235294</v>
      </c>
      <c r="DL227" s="9"/>
      <c r="DM227" s="9"/>
      <c r="DN227" s="9"/>
      <c r="DO227" s="9"/>
      <c r="DP227" s="79">
        <v>1.7277635691957942E-2</v>
      </c>
      <c r="DQ227" s="79">
        <v>1.7277635691957942E-2</v>
      </c>
      <c r="DR227" s="79">
        <v>5.5436264252271472E-3</v>
      </c>
      <c r="DS227" s="79">
        <f t="shared" ca="1" si="252"/>
        <v>2.1176470588235297E-2</v>
      </c>
      <c r="DT227" s="47"/>
      <c r="DU227" s="43">
        <f t="shared" si="253"/>
        <v>8.529361054615997E-2</v>
      </c>
      <c r="DV227" s="83">
        <f t="shared" ca="1" si="254"/>
        <v>1.1265000000000001</v>
      </c>
      <c r="DW227" s="83">
        <f t="shared" ca="1" si="255"/>
        <v>3.4031000000000002</v>
      </c>
      <c r="DX227" s="83">
        <f t="shared" ca="1" si="234"/>
        <v>-2.2766000000000002</v>
      </c>
      <c r="DY227" s="67"/>
      <c r="DZ227" s="67"/>
      <c r="EA227" s="85"/>
      <c r="EB227" s="44">
        <v>2200</v>
      </c>
      <c r="EC227" s="44" cm="1">
        <f t="array" aca="1" ref="EC227" ca="1">_FV(EE227,"Volume")</f>
        <v>4500</v>
      </c>
      <c r="EE227" s="2" t="e" vm="229">
        <v>#VALUE!</v>
      </c>
      <c r="EG227" s="10" cm="1">
        <f t="array" aca="1" ref="EG227" ca="1">_FV(EE227,"Ações em circulação",TRUE)</f>
        <v>43769810</v>
      </c>
      <c r="EH227" s="21">
        <f>VLOOKUP(BH227,Fundamentus!A:U,5,FALSE)</f>
        <v>0.246</v>
      </c>
      <c r="EI227" s="2">
        <f t="shared" ca="1" si="256"/>
        <v>448373663.41463417</v>
      </c>
      <c r="EJ227" s="20">
        <v>-133419099.25678861</v>
      </c>
      <c r="EK227" s="20">
        <f t="shared" ca="1" si="257"/>
        <v>-124064992.66682927</v>
      </c>
      <c r="EM227" s="40" t="str">
        <f>IF(VLOOKUP(BH227,Fundamentus!A:U,3,FALSE)&lt;15,"Bom",IF(VLOOKUP(BH227,Fundamentus!A:U,3,FALSE)&gt;15,"Ruim","n/a"))</f>
        <v>Bom</v>
      </c>
      <c r="EN227" s="36" t="str">
        <f>IF(VLOOKUP(BH227,Fundamentus!A:U,4,FALSE)&lt;1,"Baixo",IF(VLOOKUP(BH227,Fundamentus!A:U,4,FALSE)&lt;1.5,"Moderado",IF(VLOOKUP(BH227,Fundamentus!A:U,4,FALSE)&gt;1.5,"Alto","n/a")))</f>
        <v>Baixo</v>
      </c>
      <c r="EO227" s="20" t="str">
        <f>IF(VLOOKUP(BH227,Fundamentus!A:U,8,FALSE)&lt;0,"Risco elevado",IF(VLOOKUP(BH227,Fundamentus!A:U,8,FALSE)&lt;1,"Saudável",IF(VLOOKUP(BH227,Fundamentus!A:U,8,FALSE)&lt;3,"Estável",IF(VLOOKUP(BH227,Fundamentus!A:U,8,FALSE)&gt;3,"Alerta","n/a"))))</f>
        <v>Saudável</v>
      </c>
      <c r="EP227" s="36" t="str">
        <f t="shared" si="258"/>
        <v>Ruim</v>
      </c>
      <c r="EQ227" s="20" t="str">
        <f>IF(VLOOKUP(BH227,Fundamentus!A:U,12,FALSE)&lt;2,"Subvalorizada",IF(VLOOKUP(BH227,Fundamentus!A:U,12,FALSE)&lt;6,"Muita barata",IF(VLOOKUP(BH227,Fundamentus!A:U,12,FALSE)&lt;6,"Barata",IF(VLOOKUP(BH227,Fundamentus!A:U,12,FALSE)&lt;8,"Atrativa",IF(VLOOKUP(BH227,Fundamentus!A:U,12,FALSE)&gt;8,"Supervalorizada","n/a")))))</f>
        <v>Subvalorizada</v>
      </c>
      <c r="ES227" s="20" t="str">
        <f>IF(VLOOKUP(BH227,Fundamentus!A:U,17,FALSE)&lt;0.1,"Fraco retorno",IF(VLOOKUP(BH227,Fundamentus!A:U,17,FALSE)&gt;0.1,"Bom retorno","n/a"))</f>
        <v>Fraco retorno</v>
      </c>
      <c r="ET227" s="20" t="str">
        <f>IF(VLOOKUP(BH227,Fundamentus!A:U,16,FALSE)&lt;0.1,"Ineficiente",IF(VLOOKUP(BH227,Fundamentus!A:U,16,FALSE)&gt;0.1,"Eficiente","n/a"))</f>
        <v>Ineficiente</v>
      </c>
      <c r="EU227" s="41" t="str">
        <f>IF(VLOOKUP(BH227,Fundamentus!A:U,16,FALSE)&lt;0.1,"Oper. Ineficiente",IF(VLOOKUP(BH227,Fundamentus!A:U,16,FALSE)&gt;0.1,"Oper.Eficiente","n/a"))</f>
        <v>Oper. Ineficiente</v>
      </c>
      <c r="EV227" s="42">
        <f>VLOOKUP(BH227,Fundamentus!A:U,14,FALSE)</f>
        <v>-0.2767</v>
      </c>
      <c r="EW227" s="20" t="str">
        <f>IF(VLOOKUP(BH227,Fundamentus!A:U,21,FALSE)&lt;0,"Negativo",IF(VLOOKUP(BH227,Fundamentus!A:U,21,FALSE)&lt;0.05,"Fraco",IF(VLOOKUP(BH227,Fundamentus!A:U,21,FALSE)&lt;0.1,"Bom",IF(VLOOKUP(BH227,Fundamentus!A:U,21,FALSE)&gt;0.1,"Muito bom","n/a"))))</f>
        <v>Fraco</v>
      </c>
      <c r="EY227" s="37" t="str">
        <f>IF(VLOOKUP(BH227,Fundamentus!A:U,15,FALSE)&gt;1,"Bom",IF(VLOOKUP(BH227,Fundamentus!A:U,15,FALSE)&lt;1,"Ruim","n/a"))</f>
        <v>Bom</v>
      </c>
      <c r="EZ227" s="20" t="str">
        <f>IF(VLOOKUP(BH227,Fundamentus!A:U,20,FALSE)&lt;0.5,"Baixa",IF(VLOOKUP(BH227,Fundamentus!A:U,20,FALSE)&lt;1,"Moderada",IF(VLOOKUP(BH227,Fundamentus!A:U,20,FALSE)&lt;2,"Alerta",IF(VLOOKUP(BH227,Fundamentus!A:U,20,FALSE)&gt;2,"Alta","n/a"))))</f>
        <v>Alta</v>
      </c>
    </row>
    <row r="228" spans="1:156" s="2" customFormat="1" ht="11.25" hidden="1" x14ac:dyDescent="0.2">
      <c r="A228" s="4">
        <v>3.39</v>
      </c>
      <c r="B228" s="4">
        <v>3.13</v>
      </c>
      <c r="C228" s="4">
        <v>3.11</v>
      </c>
      <c r="D228" s="4">
        <v>3.01</v>
      </c>
      <c r="E228" s="4">
        <v>2.87</v>
      </c>
      <c r="F228" s="4">
        <v>2.88</v>
      </c>
      <c r="G228" s="4">
        <v>3.03</v>
      </c>
      <c r="H228" s="4">
        <v>2.92</v>
      </c>
      <c r="I228" s="4">
        <v>2.69</v>
      </c>
      <c r="J228" s="4">
        <v>3.15</v>
      </c>
      <c r="K228" s="4">
        <v>3.36</v>
      </c>
      <c r="L228" s="4">
        <v>2.91</v>
      </c>
      <c r="M228" s="4">
        <v>2.86</v>
      </c>
      <c r="N228" s="4">
        <v>2.67</v>
      </c>
      <c r="O228" s="4">
        <v>3.13</v>
      </c>
      <c r="P228" s="4">
        <v>3.19</v>
      </c>
      <c r="Q228" s="4">
        <v>3.21</v>
      </c>
      <c r="R228" s="4">
        <v>3.13</v>
      </c>
      <c r="S228" s="4">
        <v>3.05</v>
      </c>
      <c r="T228" s="4">
        <v>3.04</v>
      </c>
      <c r="U228" s="4">
        <v>2.88</v>
      </c>
      <c r="V228" s="4">
        <v>2.85</v>
      </c>
      <c r="W228" s="4">
        <v>2.83</v>
      </c>
      <c r="X228" s="4">
        <v>3.27</v>
      </c>
      <c r="Y228" s="4">
        <v>3.15</v>
      </c>
      <c r="Z228" s="4">
        <v>3.17</v>
      </c>
      <c r="AA228" s="4">
        <v>2.93</v>
      </c>
      <c r="AB228" s="4">
        <v>2.93</v>
      </c>
      <c r="AC228" s="4">
        <v>2.8</v>
      </c>
      <c r="AD228" s="4">
        <v>2.71</v>
      </c>
      <c r="AE228" s="4">
        <v>2.64</v>
      </c>
      <c r="AF228" s="4">
        <v>2.37</v>
      </c>
      <c r="AG228" s="4">
        <v>2.37</v>
      </c>
      <c r="AH228" s="4">
        <v>2.4300000000000002</v>
      </c>
      <c r="AI228" s="4">
        <v>2.59</v>
      </c>
      <c r="AJ228" s="4">
        <v>2.65</v>
      </c>
      <c r="AK228" s="4">
        <v>2.76</v>
      </c>
      <c r="AL228" s="4">
        <v>2.7</v>
      </c>
      <c r="AM228" s="4">
        <v>2.67</v>
      </c>
      <c r="AN228" s="4">
        <v>2.7</v>
      </c>
      <c r="AO228" s="4">
        <v>2.66</v>
      </c>
      <c r="AP228" s="4">
        <v>3.13</v>
      </c>
      <c r="AQ228" s="4">
        <v>2.71</v>
      </c>
      <c r="AR228" s="4">
        <v>2.5299999999999998</v>
      </c>
      <c r="AS228" s="4">
        <v>2.4900000000000002</v>
      </c>
      <c r="AT228" s="4">
        <v>2.4</v>
      </c>
      <c r="AU228" s="4">
        <v>2.5350000000000001</v>
      </c>
      <c r="AV228" s="4">
        <v>2.72</v>
      </c>
      <c r="AW228" s="4">
        <v>3.23</v>
      </c>
      <c r="AX228" s="4">
        <v>3.81</v>
      </c>
      <c r="AY228" s="12">
        <v>3.75</v>
      </c>
      <c r="AZ228" s="12">
        <v>4.4000000000000004</v>
      </c>
      <c r="BA228" s="12">
        <v>4.2300000000000004</v>
      </c>
      <c r="BB228" s="18">
        <v>3.11</v>
      </c>
      <c r="BC228" s="63">
        <v>3.37</v>
      </c>
      <c r="BD228" s="63">
        <v>3.09</v>
      </c>
      <c r="BE228" s="63">
        <v>3.01</v>
      </c>
      <c r="BF228" s="63">
        <v>3.06</v>
      </c>
      <c r="BG228" s="91" cm="1">
        <f t="array" aca="1" ref="BG228" ca="1">_FV(EE228,"Preço")</f>
        <v>3.05</v>
      </c>
      <c r="BH228" s="93" t="s">
        <v>225</v>
      </c>
      <c r="BI228" s="32" cm="1">
        <f t="array" aca="1" ref="BI228" ca="1">_FV(EE228,"Beta")</f>
        <v>1.9753000000000001</v>
      </c>
      <c r="BJ228" s="96" cm="1">
        <f t="array" aca="1" ref="BJ228" ca="1">_FV(EE228,"Variação (%)",TRUE)</f>
        <v>-9.7400000000000004E-3</v>
      </c>
      <c r="BK228" s="49"/>
      <c r="BL228" s="49"/>
      <c r="BN228" s="32"/>
      <c r="BO228" s="20" cm="1">
        <f t="array" aca="1" ref="BO228" ca="1">_FV(EE228,"Baixo")</f>
        <v>3.04</v>
      </c>
      <c r="BP228" s="20" cm="1">
        <f t="array" aca="1" ref="BP228" ca="1">_FV(EE228,"Alto")</f>
        <v>3.1</v>
      </c>
      <c r="BQ228" s="32"/>
      <c r="BR228" s="74" t="e">
        <f ca="1">SQRT(22.5*(BG228/VLOOKUP(BH228,Fundamentus!A:U,3,FALSE))*(BG228/VLOOKUP(BH228,Fundamentus!A:U,4,FALSE)))</f>
        <v>#NUM!</v>
      </c>
      <c r="BT228" s="73">
        <f t="shared" ca="1" si="235"/>
        <v>-3.2679738562092259E-3</v>
      </c>
      <c r="BU228" s="36">
        <f t="shared" si="236"/>
        <v>-0.11209439528023608</v>
      </c>
      <c r="BV228" s="8"/>
      <c r="BW228" s="72">
        <f t="shared" si="237"/>
        <v>2.37</v>
      </c>
      <c r="BX228" s="72">
        <f t="shared" si="238"/>
        <v>2.971810344827587</v>
      </c>
      <c r="BY228" s="72">
        <f t="shared" si="239"/>
        <v>4.4000000000000004</v>
      </c>
      <c r="BZ228" s="17"/>
      <c r="CA228" s="17"/>
      <c r="CB228" s="43">
        <f t="shared" si="240"/>
        <v>2.6013375186262575</v>
      </c>
      <c r="CC228" s="18">
        <f t="shared" si="241"/>
        <v>2.8814714151828866</v>
      </c>
      <c r="CD228" s="43">
        <f t="shared" si="242"/>
        <v>3.1616053117395158</v>
      </c>
      <c r="CE228" s="98">
        <f t="shared" ca="1" si="243"/>
        <v>0.6016001165465712</v>
      </c>
      <c r="CF228" s="17"/>
      <c r="CG228" s="20">
        <f t="shared" si="244"/>
        <v>0.12333333333333307</v>
      </c>
      <c r="CH228" s="20">
        <f t="shared" si="245"/>
        <v>1.2466666666666666</v>
      </c>
      <c r="CI228" s="20">
        <f t="shared" si="246"/>
        <v>2.1533333333333333</v>
      </c>
      <c r="CJ228" s="49">
        <f t="shared" si="247"/>
        <v>3.2766666666666668</v>
      </c>
      <c r="CK228" s="20">
        <f t="shared" si="248"/>
        <v>4.1833333333333336</v>
      </c>
      <c r="CL228" s="20">
        <f t="shared" si="249"/>
        <v>5.3066666666666666</v>
      </c>
      <c r="CM228" s="20">
        <f t="shared" si="250"/>
        <v>6.2133333333333338</v>
      </c>
      <c r="CN228" s="2" cm="1">
        <f t="array" aca="1" ref="CN228" ca="1">MAX(_xlfn._xlws.FILTER(CG228:CM228,CG228:CM228&lt;BG228))</f>
        <v>2.1533333333333333</v>
      </c>
      <c r="CO228" s="2" cm="1">
        <f t="array" aca="1" ref="CO228" ca="1">MIN(_xlfn._xlws.FILTER($CG228:$CM228,$CG228:$CM228&gt;BG228))</f>
        <v>3.2766666666666668</v>
      </c>
      <c r="CP228" s="19">
        <f t="shared" ca="1" si="259"/>
        <v>0.52167182662538703</v>
      </c>
      <c r="CQ228" s="23">
        <f t="shared" ca="1" si="260"/>
        <v>-0.26083591331269351</v>
      </c>
      <c r="CR228" s="23">
        <f t="shared" ca="1" si="261"/>
        <v>-0.173890608875129</v>
      </c>
      <c r="CS228" s="23">
        <f t="shared" ca="1" si="262"/>
        <v>-0.10433436532507741</v>
      </c>
      <c r="CT228" s="23">
        <f t="shared" ca="1" si="263"/>
        <v>-5.7963536291709666E-2</v>
      </c>
      <c r="CU228" s="23">
        <f t="shared" ca="1" si="264"/>
        <v>-3.0686578036787471E-2</v>
      </c>
      <c r="CV228" s="23">
        <f t="shared" ca="1" si="265"/>
        <v>-1.5808237170466272E-2</v>
      </c>
      <c r="CW228" s="23">
        <f t="shared" ca="1" si="266"/>
        <v>-8.0257204096213387E-3</v>
      </c>
      <c r="CX228" s="24">
        <f t="shared" ca="1" si="267"/>
        <v>8.0257204096213387E-3</v>
      </c>
      <c r="CY228" s="24">
        <f t="shared" ca="1" si="268"/>
        <v>1.5808237170466272E-2</v>
      </c>
      <c r="CZ228" s="24">
        <f t="shared" ca="1" si="269"/>
        <v>3.0686578036787471E-2</v>
      </c>
      <c r="DA228" s="24">
        <f t="shared" ca="1" si="270"/>
        <v>5.7963536291709666E-2</v>
      </c>
      <c r="DB228" s="24">
        <f t="shared" ca="1" si="271"/>
        <v>0.10433436532507741</v>
      </c>
      <c r="DC228" s="24">
        <f t="shared" ca="1" si="272"/>
        <v>0.173890608875129</v>
      </c>
      <c r="DD228" s="24">
        <f t="shared" ca="1" si="273"/>
        <v>0.26083591331269351</v>
      </c>
      <c r="DF228" s="19" cm="1">
        <f t="array" aca="1" ref="DF228" ca="1">MAX(_xlfn._xlws.FILTER(CQ228:DD228,CQ228:DD228&lt;BJ228))</f>
        <v>-1.5808237170466272E-2</v>
      </c>
      <c r="DG228" s="19" cm="1">
        <f t="array" aca="1" ref="DG228" ca="1">MIN(_xlfn._xlws.FILTER(CQ228:DD228,CQ228:DD228&gt;BJ228))</f>
        <v>-8.0257204096213387E-3</v>
      </c>
      <c r="DH228" s="2" cm="1">
        <f t="array" aca="1" ref="DH228" ca="1">_FV(EE228,"Fechamento anterior",TRUE)</f>
        <v>3.08</v>
      </c>
      <c r="DI228" s="36">
        <f t="shared" ca="1" si="251"/>
        <v>0.77969346121237093</v>
      </c>
      <c r="DJ228" s="18">
        <f t="shared" ca="1" si="274"/>
        <v>3.0313106295149641</v>
      </c>
      <c r="DK228" s="18">
        <f t="shared" ca="1" si="275"/>
        <v>3.0552807811383662</v>
      </c>
      <c r="DL228" s="9"/>
      <c r="DM228" s="9"/>
      <c r="DN228" s="9"/>
      <c r="DO228" s="9"/>
      <c r="DP228" s="79">
        <v>1.21772917542911E-2</v>
      </c>
      <c r="DQ228" s="79">
        <v>1.3137424373379435E-2</v>
      </c>
      <c r="DR228" s="79">
        <v>6.3696603022445732E-3</v>
      </c>
      <c r="DS228" s="79">
        <f t="shared" ca="1" si="252"/>
        <v>7.7825167608449337E-3</v>
      </c>
      <c r="DT228" s="47"/>
      <c r="DU228" s="43">
        <f t="shared" si="253"/>
        <v>0.14006694827831448</v>
      </c>
      <c r="DV228" s="83">
        <f t="shared" ca="1" si="254"/>
        <v>2.4014000000000002</v>
      </c>
      <c r="DW228" s="83">
        <f t="shared" ca="1" si="255"/>
        <v>2.9493</v>
      </c>
      <c r="DX228" s="83">
        <f t="shared" ca="1" si="234"/>
        <v>-0.54789999999999983</v>
      </c>
      <c r="DY228" s="67"/>
      <c r="DZ228" s="67"/>
      <c r="EA228" s="85"/>
      <c r="EB228" s="44">
        <v>6641700</v>
      </c>
      <c r="EC228" s="44" cm="1">
        <f t="array" aca="1" ref="EC228" ca="1">_FV(EE228,"Volume")</f>
        <v>4114700</v>
      </c>
      <c r="EE228" s="2" t="e" vm="230">
        <v>#VALUE!</v>
      </c>
      <c r="EG228" s="10" cm="1">
        <f t="array" aca="1" ref="EG228" ca="1">_FV(EE228,"Ações em circulação",TRUE)</f>
        <v>490286400</v>
      </c>
      <c r="EH228" s="21">
        <f>VLOOKUP(BH228,Fundamentus!A:U,5,FALSE)</f>
        <v>7.9000000000000001E-2</v>
      </c>
      <c r="EI228" s="2">
        <f t="shared" ca="1" si="256"/>
        <v>18928778734.177216</v>
      </c>
      <c r="EJ228" s="20">
        <v>-1914276702.6227846</v>
      </c>
      <c r="EK228" s="20">
        <f t="shared" ca="1" si="257"/>
        <v>-1908020896.4050634</v>
      </c>
      <c r="EM228" s="40" t="str">
        <f>IF(VLOOKUP(BH228,Fundamentus!A:U,3,FALSE)&lt;15,"Bom",IF(VLOOKUP(BH228,Fundamentus!A:U,3,FALSE)&gt;15,"Ruim","n/a"))</f>
        <v>Bom</v>
      </c>
      <c r="EN228" s="36" t="str">
        <f>IF(VLOOKUP(BH228,Fundamentus!A:U,4,FALSE)&lt;1,"Baixo",IF(VLOOKUP(BH228,Fundamentus!A:U,4,FALSE)&lt;1.5,"Moderado",IF(VLOOKUP(BH228,Fundamentus!A:U,4,FALSE)&gt;1.5,"Alto","n/a")))</f>
        <v>Baixo</v>
      </c>
      <c r="EO228" s="20" t="str">
        <f>IF(VLOOKUP(BH228,Fundamentus!A:U,8,FALSE)&lt;0,"Risco elevado",IF(VLOOKUP(BH228,Fundamentus!A:U,8,FALSE)&lt;1,"Saudável",IF(VLOOKUP(BH228,Fundamentus!A:U,8,FALSE)&lt;3,"Estável",IF(VLOOKUP(BH228,Fundamentus!A:U,8,FALSE)&gt;3,"Alerta","n/a"))))</f>
        <v>Risco elevado</v>
      </c>
      <c r="EP228" s="36" t="str">
        <f t="shared" si="258"/>
        <v>Ruim</v>
      </c>
      <c r="EQ228" s="20" t="str">
        <f>IF(VLOOKUP(BH228,Fundamentus!A:U,12,FALSE)&lt;2,"Subvalorizada",IF(VLOOKUP(BH228,Fundamentus!A:U,12,FALSE)&lt;6,"Muita barata",IF(VLOOKUP(BH228,Fundamentus!A:U,12,FALSE)&lt;6,"Barata",IF(VLOOKUP(BH228,Fundamentus!A:U,12,FALSE)&lt;8,"Atrativa",IF(VLOOKUP(BH228,Fundamentus!A:U,12,FALSE)&gt;8,"Supervalorizada","n/a")))))</f>
        <v>Subvalorizada</v>
      </c>
      <c r="ES228" s="20" t="str">
        <f>IF(VLOOKUP(BH228,Fundamentus!A:U,17,FALSE)&lt;0.1,"Fraco retorno",IF(VLOOKUP(BH228,Fundamentus!A:U,17,FALSE)&gt;0.1,"Bom retorno","n/a"))</f>
        <v>Fraco retorno</v>
      </c>
      <c r="ET228" s="20" t="str">
        <f>IF(VLOOKUP(BH228,Fundamentus!A:U,16,FALSE)&lt;0.1,"Ineficiente",IF(VLOOKUP(BH228,Fundamentus!A:U,16,FALSE)&gt;0.1,"Eficiente","n/a"))</f>
        <v>Eficiente</v>
      </c>
      <c r="EU228" s="41" t="str">
        <f>IF(VLOOKUP(BH228,Fundamentus!A:U,16,FALSE)&lt;0.1,"Oper. Ineficiente",IF(VLOOKUP(BH228,Fundamentus!A:U,16,FALSE)&gt;0.1,"Oper.Eficiente","n/a"))</f>
        <v>Oper.Eficiente</v>
      </c>
      <c r="EV228" s="42">
        <f>VLOOKUP(BH228,Fundamentus!A:U,14,FALSE)</f>
        <v>-0.1008</v>
      </c>
      <c r="EW228" s="20" t="str">
        <f>IF(VLOOKUP(BH228,Fundamentus!A:U,21,FALSE)&lt;0,"Negativo",IF(VLOOKUP(BH228,Fundamentus!A:U,21,FALSE)&lt;0.05,"Fraco",IF(VLOOKUP(BH228,Fundamentus!A:U,21,FALSE)&lt;0.1,"Bom",IF(VLOOKUP(BH228,Fundamentus!A:U,21,FALSE)&gt;0.1,"Muito bom","n/a"))))</f>
        <v>Negativo</v>
      </c>
      <c r="EY228" s="37" t="str">
        <f>IF(VLOOKUP(BH228,Fundamentus!A:U,15,FALSE)&gt;1,"Bom",IF(VLOOKUP(BH228,Fundamentus!A:U,15,FALSE)&lt;1,"Ruim","n/a"))</f>
        <v>Ruim</v>
      </c>
      <c r="EZ228" s="20" t="str">
        <f>IF(VLOOKUP(BH228,Fundamentus!A:U,20,FALSE)&lt;0.5,"Baixa",IF(VLOOKUP(BH228,Fundamentus!A:U,20,FALSE)&lt;1,"Moderada",IF(VLOOKUP(BH228,Fundamentus!A:U,20,FALSE)&lt;2,"Alerta",IF(VLOOKUP(BH228,Fundamentus!A:U,20,FALSE)&gt;2,"Alta","n/a"))))</f>
        <v>Alerta</v>
      </c>
    </row>
    <row r="229" spans="1:156" s="2" customFormat="1" ht="11.25" hidden="1" x14ac:dyDescent="0.2">
      <c r="A229" s="4">
        <v>4.6500000000000004</v>
      </c>
      <c r="B229" s="4">
        <v>4.7</v>
      </c>
      <c r="C229" s="4">
        <v>5.88</v>
      </c>
      <c r="D229" s="4">
        <v>5.34</v>
      </c>
      <c r="E229" s="4">
        <v>5.3</v>
      </c>
      <c r="F229" s="4">
        <v>5.38</v>
      </c>
      <c r="G229" s="4">
        <v>5.86</v>
      </c>
      <c r="H229" s="4">
        <v>5.38</v>
      </c>
      <c r="I229" s="4">
        <v>5.88</v>
      </c>
      <c r="J229" s="4">
        <v>6.19</v>
      </c>
      <c r="K229" s="4">
        <v>6.09</v>
      </c>
      <c r="L229" s="4">
        <v>5.79</v>
      </c>
      <c r="M229" s="4">
        <v>5.84</v>
      </c>
      <c r="N229" s="4">
        <v>5.63</v>
      </c>
      <c r="O229" s="4">
        <v>6.37</v>
      </c>
      <c r="P229" s="4">
        <v>6.22</v>
      </c>
      <c r="Q229" s="4">
        <v>6.35</v>
      </c>
      <c r="R229" s="4">
        <v>6.9</v>
      </c>
      <c r="S229" s="4">
        <v>4.1900000000000004</v>
      </c>
      <c r="T229" s="4">
        <v>4.37</v>
      </c>
      <c r="U229" s="4">
        <v>4.17</v>
      </c>
      <c r="V229" s="4">
        <v>4.12</v>
      </c>
      <c r="W229" s="4">
        <v>3.76</v>
      </c>
      <c r="X229" s="4">
        <v>3.5</v>
      </c>
      <c r="Y229" s="4">
        <v>3.51</v>
      </c>
      <c r="Z229" s="4">
        <v>3.51</v>
      </c>
      <c r="AA229" s="4">
        <v>3.4</v>
      </c>
      <c r="AB229" s="4">
        <v>3.44</v>
      </c>
      <c r="AC229" s="4">
        <v>3.34</v>
      </c>
      <c r="AD229" s="4">
        <v>3.2</v>
      </c>
      <c r="AE229" s="4">
        <v>3.2</v>
      </c>
      <c r="AF229" s="4">
        <v>3.17</v>
      </c>
      <c r="AG229" s="4">
        <v>2.95</v>
      </c>
      <c r="AH229" s="4">
        <v>2.65</v>
      </c>
      <c r="AI229" s="4">
        <v>2.82</v>
      </c>
      <c r="AJ229" s="4">
        <v>2.61</v>
      </c>
      <c r="AK229" s="4">
        <v>2.74</v>
      </c>
      <c r="AL229" s="4">
        <v>3.06</v>
      </c>
      <c r="AM229" s="4">
        <v>3.07</v>
      </c>
      <c r="AN229" s="4">
        <v>3.21</v>
      </c>
      <c r="AO229" s="4">
        <v>3.83</v>
      </c>
      <c r="AP229" s="4">
        <v>3.93</v>
      </c>
      <c r="AQ229" s="4">
        <v>3.42</v>
      </c>
      <c r="AR229" s="4">
        <v>3.22</v>
      </c>
      <c r="AS229" s="4">
        <v>3.51</v>
      </c>
      <c r="AT229" s="4">
        <v>3.57</v>
      </c>
      <c r="AU229" s="4">
        <v>3.76</v>
      </c>
      <c r="AV229" s="4">
        <v>3.47</v>
      </c>
      <c r="AW229" s="4">
        <v>3.13</v>
      </c>
      <c r="AX229" s="4">
        <v>3.29</v>
      </c>
      <c r="AY229" s="12">
        <v>3.88</v>
      </c>
      <c r="AZ229" s="12">
        <v>6.1</v>
      </c>
      <c r="BA229" s="12">
        <v>6.42</v>
      </c>
      <c r="BB229" s="18">
        <v>7.45</v>
      </c>
      <c r="BC229" s="63">
        <v>8.35</v>
      </c>
      <c r="BD229" s="63">
        <v>7.28</v>
      </c>
      <c r="BE229" s="63">
        <v>8.02</v>
      </c>
      <c r="BF229" s="63">
        <v>7.44</v>
      </c>
      <c r="BG229" s="91" cm="1">
        <f t="array" aca="1" ref="BG229" ca="1">_FV(EE229,"Preço")</f>
        <v>7.06</v>
      </c>
      <c r="BH229" s="93" t="s">
        <v>226</v>
      </c>
      <c r="BI229" s="32" cm="1">
        <f t="array" aca="1" ref="BI229" ca="1">_FV(EE229,"Beta")</f>
        <v>1.8916999999999999</v>
      </c>
      <c r="BJ229" s="96" cm="1">
        <f t="array" aca="1" ref="BJ229" ca="1">_FV(EE229,"Variação (%)",TRUE)</f>
        <v>-4.9798000000000002E-2</v>
      </c>
      <c r="BK229" s="49"/>
      <c r="BL229" s="49"/>
      <c r="BN229" s="32"/>
      <c r="BO229" s="20" cm="1">
        <f t="array" aca="1" ref="BO229" ca="1">_FV(EE229,"Baixo")</f>
        <v>6.95</v>
      </c>
      <c r="BP229" s="20" cm="1">
        <f t="array" aca="1" ref="BP229" ca="1">_FV(EE229,"Alto")</f>
        <v>7.41</v>
      </c>
      <c r="BQ229" s="32"/>
      <c r="BR229" s="74" t="e">
        <f ca="1">SQRT(22.5*(BG229/VLOOKUP(BH229,Fundamentus!A:U,3,FALSE))*(BG229/VLOOKUP(BH229,Fundamentus!A:U,4,FALSE)))</f>
        <v>#NUM!</v>
      </c>
      <c r="BT229" s="73">
        <f t="shared" ca="1" si="235"/>
        <v>-5.1075268817204401E-2</v>
      </c>
      <c r="BU229" s="36">
        <f t="shared" si="236"/>
        <v>0.7247311827956987</v>
      </c>
      <c r="BV229" s="8"/>
      <c r="BW229" s="72">
        <f t="shared" si="237"/>
        <v>2.61</v>
      </c>
      <c r="BX229" s="72">
        <f t="shared" si="238"/>
        <v>4.6174137931034469</v>
      </c>
      <c r="BY229" s="72">
        <f t="shared" si="239"/>
        <v>8.35</v>
      </c>
      <c r="BZ229" s="17"/>
      <c r="CA229" s="17"/>
      <c r="CB229" s="43">
        <f t="shared" si="240"/>
        <v>6.405811520433188</v>
      </c>
      <c r="CC229" s="18">
        <f t="shared" si="241"/>
        <v>7.2706091846298477</v>
      </c>
      <c r="CD229" s="43">
        <f t="shared" si="242"/>
        <v>8.1354068488265074</v>
      </c>
      <c r="CE229" s="98">
        <f t="shared" ca="1" si="243"/>
        <v>-0.24353579264750932</v>
      </c>
      <c r="CF229" s="17"/>
      <c r="CG229" s="20">
        <f t="shared" si="244"/>
        <v>-1.8233333333333337</v>
      </c>
      <c r="CH229" s="20">
        <f t="shared" si="245"/>
        <v>0.39333333333333265</v>
      </c>
      <c r="CI229" s="20">
        <f t="shared" si="246"/>
        <v>3.9166666666666661</v>
      </c>
      <c r="CJ229" s="49">
        <f t="shared" si="247"/>
        <v>6.1333333333333329</v>
      </c>
      <c r="CK229" s="20">
        <f t="shared" si="248"/>
        <v>9.6566666666666663</v>
      </c>
      <c r="CL229" s="20">
        <f t="shared" si="249"/>
        <v>11.873333333333333</v>
      </c>
      <c r="CM229" s="20">
        <f t="shared" si="250"/>
        <v>15.396666666666665</v>
      </c>
      <c r="CN229" s="2" cm="1">
        <f t="array" aca="1" ref="CN229" ca="1">MAX(_xlfn._xlws.FILTER(CG229:CM229,CG229:CM229&lt;BG229))</f>
        <v>6.1333333333333329</v>
      </c>
      <c r="CO229" s="2" cm="1">
        <f t="array" aca="1" ref="CO229" ca="1">MIN(_xlfn._xlws.FILTER($CG229:$CM229,$CG229:$CM229&gt;BG229))</f>
        <v>9.6566666666666663</v>
      </c>
      <c r="CP229" s="19">
        <f t="shared" ca="1" si="259"/>
        <v>0.57445652173913042</v>
      </c>
      <c r="CQ229" s="23">
        <f t="shared" ca="1" si="260"/>
        <v>-0.28722826086956521</v>
      </c>
      <c r="CR229" s="23">
        <f t="shared" ca="1" si="261"/>
        <v>-0.19148550724637681</v>
      </c>
      <c r="CS229" s="23">
        <f t="shared" ca="1" si="262"/>
        <v>-0.11489130434782609</v>
      </c>
      <c r="CT229" s="23">
        <f t="shared" ca="1" si="263"/>
        <v>-6.382850241545894E-2</v>
      </c>
      <c r="CU229" s="23">
        <f t="shared" ca="1" si="264"/>
        <v>-3.379156010230179E-2</v>
      </c>
      <c r="CV229" s="23">
        <f t="shared" ca="1" si="265"/>
        <v>-1.7407773386034255E-2</v>
      </c>
      <c r="CW229" s="23">
        <f t="shared" ca="1" si="266"/>
        <v>-8.8377926421404681E-3</v>
      </c>
      <c r="CX229" s="24">
        <f t="shared" ca="1" si="267"/>
        <v>8.8377926421404681E-3</v>
      </c>
      <c r="CY229" s="24">
        <f t="shared" ca="1" si="268"/>
        <v>1.7407773386034255E-2</v>
      </c>
      <c r="CZ229" s="24">
        <f t="shared" ca="1" si="269"/>
        <v>3.379156010230179E-2</v>
      </c>
      <c r="DA229" s="24">
        <f t="shared" ca="1" si="270"/>
        <v>6.382850241545894E-2</v>
      </c>
      <c r="DB229" s="24">
        <f t="shared" ca="1" si="271"/>
        <v>0.11489130434782609</v>
      </c>
      <c r="DC229" s="24">
        <f t="shared" ca="1" si="272"/>
        <v>0.19148550724637681</v>
      </c>
      <c r="DD229" s="24">
        <f t="shared" ca="1" si="273"/>
        <v>0.28722826086956521</v>
      </c>
      <c r="DF229" s="19" cm="1">
        <f t="array" aca="1" ref="DF229" ca="1">MAX(_xlfn._xlws.FILTER(CQ229:DD229,CQ229:DD229&lt;BJ229))</f>
        <v>-6.382850241545894E-2</v>
      </c>
      <c r="DG229" s="19" cm="1">
        <f t="array" aca="1" ref="DG229" ca="1">MIN(_xlfn._xlws.FILTER(CQ229:DD229,CQ229:DD229&gt;BJ229))</f>
        <v>-3.379156010230179E-2</v>
      </c>
      <c r="DH229" s="2" cm="1">
        <f t="array" aca="1" ref="DH229" ca="1">_FV(EE229,"Fechamento anterior",TRUE)</f>
        <v>7.43</v>
      </c>
      <c r="DI229" s="36">
        <f t="shared" ca="1" si="251"/>
        <v>0.46710435843336201</v>
      </c>
      <c r="DJ229" s="18">
        <f t="shared" ca="1" si="274"/>
        <v>6.9557542270531396</v>
      </c>
      <c r="DK229" s="18">
        <f t="shared" ca="1" si="275"/>
        <v>7.1789287084398978</v>
      </c>
      <c r="DL229" s="9"/>
      <c r="DM229" s="9"/>
      <c r="DN229" s="9"/>
      <c r="DO229" s="9"/>
      <c r="DP229" s="79">
        <v>3.5874780295472898E-2</v>
      </c>
      <c r="DQ229" s="79">
        <v>5.3812170443209337E-2</v>
      </c>
      <c r="DR229" s="79">
        <v>2.6060050328053502E-2</v>
      </c>
      <c r="DS229" s="79">
        <f t="shared" ca="1" si="252"/>
        <v>3.003694231315715E-2</v>
      </c>
      <c r="DT229" s="47"/>
      <c r="DU229" s="43">
        <f t="shared" si="253"/>
        <v>0.43239883209832991</v>
      </c>
      <c r="DV229" s="83">
        <f t="shared" ca="1" si="254"/>
        <v>2.3178000000000001</v>
      </c>
      <c r="DW229" s="83">
        <f t="shared" ca="1" si="255"/>
        <v>6.8715000000000002</v>
      </c>
      <c r="DX229" s="83">
        <f t="shared" ca="1" si="234"/>
        <v>-4.5537000000000001</v>
      </c>
      <c r="DY229" s="67"/>
      <c r="DZ229" s="67"/>
      <c r="EA229" s="85"/>
      <c r="EB229" s="44">
        <v>2651900</v>
      </c>
      <c r="EC229" s="44" cm="1">
        <f t="array" aca="1" ref="EC229" ca="1">_FV(EE229,"Volume")</f>
        <v>7155800</v>
      </c>
      <c r="EE229" s="2" t="e" vm="231">
        <v>#VALUE!</v>
      </c>
      <c r="EG229" s="10" cm="1">
        <f t="array" aca="1" ref="EG229" ca="1">_FV(EE229,"Ações em circulação",TRUE)</f>
        <v>87173830</v>
      </c>
      <c r="EH229" s="21">
        <f>VLOOKUP(BH229,Fundamentus!A:U,5,FALSE)</f>
        <v>1.746</v>
      </c>
      <c r="EI229" s="2">
        <f t="shared" ca="1" si="256"/>
        <v>352489828.06414658</v>
      </c>
      <c r="EJ229" s="20">
        <v>-19798944.23491409</v>
      </c>
      <c r="EK229" s="20">
        <f t="shared" ca="1" si="257"/>
        <v>-18787707.835819013</v>
      </c>
      <c r="EM229" s="40" t="str">
        <f>IF(VLOOKUP(BH229,Fundamentus!A:U,3,FALSE)&lt;15,"Bom",IF(VLOOKUP(BH229,Fundamentus!A:U,3,FALSE)&gt;15,"Ruim","n/a"))</f>
        <v>Bom</v>
      </c>
      <c r="EN229" s="36" t="str">
        <f>IF(VLOOKUP(BH229,Fundamentus!A:U,4,FALSE)&lt;1,"Baixo",IF(VLOOKUP(BH229,Fundamentus!A:U,4,FALSE)&lt;1.5,"Moderado",IF(VLOOKUP(BH229,Fundamentus!A:U,4,FALSE)&gt;1.5,"Alto","n/a")))</f>
        <v>Alto</v>
      </c>
      <c r="EO229" s="20" t="str">
        <f>IF(VLOOKUP(BH229,Fundamentus!A:U,8,FALSE)&lt;0,"Risco elevado",IF(VLOOKUP(BH229,Fundamentus!A:U,8,FALSE)&lt;1,"Saudável",IF(VLOOKUP(BH229,Fundamentus!A:U,8,FALSE)&lt;3,"Estável",IF(VLOOKUP(BH229,Fundamentus!A:U,8,FALSE)&gt;3,"Alerta","n/a"))))</f>
        <v>Alerta</v>
      </c>
      <c r="EP229" s="36" t="str">
        <f t="shared" si="258"/>
        <v>Bom</v>
      </c>
      <c r="EQ229" s="20" t="str">
        <f>IF(VLOOKUP(BH229,Fundamentus!A:U,12,FALSE)&lt;2,"Subvalorizada",IF(VLOOKUP(BH229,Fundamentus!A:U,12,FALSE)&lt;6,"Muita barata",IF(VLOOKUP(BH229,Fundamentus!A:U,12,FALSE)&lt;6,"Barata",IF(VLOOKUP(BH229,Fundamentus!A:U,12,FALSE)&lt;8,"Atrativa",IF(VLOOKUP(BH229,Fundamentus!A:U,12,FALSE)&gt;8,"Supervalorizada","n/a")))))</f>
        <v>Subvalorizada</v>
      </c>
      <c r="ES229" s="20" t="str">
        <f>IF(VLOOKUP(BH229,Fundamentus!A:U,17,FALSE)&lt;0.1,"Fraco retorno",IF(VLOOKUP(BH229,Fundamentus!A:U,17,FALSE)&gt;0.1,"Bom retorno","n/a"))</f>
        <v>Fraco retorno</v>
      </c>
      <c r="ET229" s="20" t="str">
        <f>IF(VLOOKUP(BH229,Fundamentus!A:U,16,FALSE)&lt;0.1,"Ineficiente",IF(VLOOKUP(BH229,Fundamentus!A:U,16,FALSE)&gt;0.1,"Eficiente","n/a"))</f>
        <v>Ineficiente</v>
      </c>
      <c r="EU229" s="41" t="str">
        <f>IF(VLOOKUP(BH229,Fundamentus!A:U,16,FALSE)&lt;0.1,"Oper. Ineficiente",IF(VLOOKUP(BH229,Fundamentus!A:U,16,FALSE)&gt;0.1,"Oper.Eficiente","n/a"))</f>
        <v>Oper. Ineficiente</v>
      </c>
      <c r="EV229" s="42">
        <f>VLOOKUP(BH229,Fundamentus!A:U,14,FALSE)</f>
        <v>-5.33E-2</v>
      </c>
      <c r="EW229" s="20" t="str">
        <f>IF(VLOOKUP(BH229,Fundamentus!A:U,21,FALSE)&lt;0,"Negativo",IF(VLOOKUP(BH229,Fundamentus!A:U,21,FALSE)&lt;0.05,"Fraco",IF(VLOOKUP(BH229,Fundamentus!A:U,21,FALSE)&lt;0.1,"Bom",IF(VLOOKUP(BH229,Fundamentus!A:U,21,FALSE)&gt;0.1,"Muito bom","n/a"))))</f>
        <v>Muito bom</v>
      </c>
      <c r="EY229" s="37" t="str">
        <f>IF(VLOOKUP(BH229,Fundamentus!A:U,15,FALSE)&gt;1,"Bom",IF(VLOOKUP(BH229,Fundamentus!A:U,15,FALSE)&lt;1,"Ruim","n/a"))</f>
        <v>Bom</v>
      </c>
      <c r="EZ229" s="20" t="str">
        <f>IF(VLOOKUP(BH229,Fundamentus!A:U,20,FALSE)&lt;0.5,"Baixa",IF(VLOOKUP(BH229,Fundamentus!A:U,20,FALSE)&lt;1,"Moderada",IF(VLOOKUP(BH229,Fundamentus!A:U,20,FALSE)&lt;2,"Alerta",IF(VLOOKUP(BH229,Fundamentus!A:U,20,FALSE)&gt;2,"Alta","n/a"))))</f>
        <v>Baixa</v>
      </c>
    </row>
    <row r="230" spans="1:156" s="2" customFormat="1" ht="11.25" hidden="1" x14ac:dyDescent="0.2">
      <c r="A230" s="4">
        <v>4.9800000000000004</v>
      </c>
      <c r="B230" s="4">
        <v>4.92</v>
      </c>
      <c r="C230" s="4">
        <v>4.83</v>
      </c>
      <c r="D230" s="4">
        <v>4.62</v>
      </c>
      <c r="E230" s="4">
        <v>4.4000000000000004</v>
      </c>
      <c r="F230" s="4">
        <v>3.77</v>
      </c>
      <c r="G230" s="4">
        <v>3.75</v>
      </c>
      <c r="H230" s="4">
        <v>3.77</v>
      </c>
      <c r="I230" s="4">
        <v>3.79</v>
      </c>
      <c r="J230" s="4">
        <v>3.93</v>
      </c>
      <c r="K230" s="4">
        <v>4.05</v>
      </c>
      <c r="L230" s="4">
        <v>4.1500000000000004</v>
      </c>
      <c r="M230" s="4">
        <v>4.08</v>
      </c>
      <c r="N230" s="4">
        <v>4.5999999999999996</v>
      </c>
      <c r="O230" s="4">
        <v>4.28</v>
      </c>
      <c r="P230" s="4">
        <v>4.22</v>
      </c>
      <c r="Q230" s="4">
        <v>4.12</v>
      </c>
      <c r="R230" s="4">
        <v>4.1500000000000004</v>
      </c>
      <c r="S230" s="4">
        <v>4.05</v>
      </c>
      <c r="T230" s="4">
        <v>4.01</v>
      </c>
      <c r="U230" s="4">
        <v>3.91</v>
      </c>
      <c r="V230" s="4">
        <v>4.01</v>
      </c>
      <c r="W230" s="4">
        <v>3.92</v>
      </c>
      <c r="X230" s="4">
        <v>3.8</v>
      </c>
      <c r="Y230" s="4">
        <v>3.71</v>
      </c>
      <c r="Z230" s="4">
        <v>3.7</v>
      </c>
      <c r="AA230" s="4">
        <v>3.79</v>
      </c>
      <c r="AB230" s="4">
        <v>3.64</v>
      </c>
      <c r="AC230" s="4">
        <v>3.56</v>
      </c>
      <c r="AD230" s="4">
        <v>3.48</v>
      </c>
      <c r="AE230" s="4">
        <v>3.2</v>
      </c>
      <c r="AF230" s="4">
        <v>7.31</v>
      </c>
      <c r="AG230" s="4">
        <v>6.84</v>
      </c>
      <c r="AH230" s="4">
        <v>6.61</v>
      </c>
      <c r="AI230" s="4">
        <v>6.57</v>
      </c>
      <c r="AJ230" s="4">
        <v>5.8</v>
      </c>
      <c r="AK230" s="4">
        <v>5.61</v>
      </c>
      <c r="AL230" s="4">
        <v>5.6</v>
      </c>
      <c r="AM230" s="4">
        <v>5.37</v>
      </c>
      <c r="AN230" s="4">
        <v>5.47</v>
      </c>
      <c r="AO230" s="4">
        <v>5.25</v>
      </c>
      <c r="AP230" s="4">
        <v>5.19</v>
      </c>
      <c r="AQ230" s="4">
        <v>5.64</v>
      </c>
      <c r="AR230" s="4">
        <v>5.25</v>
      </c>
      <c r="AS230" s="4">
        <v>4.97</v>
      </c>
      <c r="AT230" s="4">
        <v>3.7</v>
      </c>
      <c r="AU230" s="4">
        <v>3.835</v>
      </c>
      <c r="AV230" s="4">
        <v>3.72</v>
      </c>
      <c r="AW230" s="4">
        <v>3.95</v>
      </c>
      <c r="AX230" s="4">
        <v>3.78</v>
      </c>
      <c r="AY230" s="12">
        <v>3.71</v>
      </c>
      <c r="AZ230" s="12">
        <v>3.65</v>
      </c>
      <c r="BA230" s="12">
        <v>3.65</v>
      </c>
      <c r="BB230" s="18">
        <v>3.78</v>
      </c>
      <c r="BC230" s="63">
        <v>3.91</v>
      </c>
      <c r="BD230" s="63">
        <v>4.03</v>
      </c>
      <c r="BE230" s="63">
        <v>5.18</v>
      </c>
      <c r="BF230" s="63">
        <v>4.54</v>
      </c>
      <c r="BG230" s="91" cm="1">
        <f t="array" aca="1" ref="BG230" ca="1">_FV(EE230,"Preço")</f>
        <v>3.93</v>
      </c>
      <c r="BH230" s="93" t="s">
        <v>227</v>
      </c>
      <c r="BI230" s="32" cm="1">
        <f t="array" aca="1" ref="BI230" ca="1">_FV(EE230,"Beta")</f>
        <v>0.49840000000000001</v>
      </c>
      <c r="BJ230" s="96" cm="1">
        <f t="array" aca="1" ref="BJ230" ca="1">_FV(EE230,"Variação (%)",TRUE)</f>
        <v>-5.3011999999999997E-2</v>
      </c>
      <c r="BK230" s="49"/>
      <c r="BL230" s="49"/>
      <c r="BN230" s="32"/>
      <c r="BO230" s="20" cm="1">
        <f t="array" aca="1" ref="BO230" ca="1">_FV(EE230,"Baixo")</f>
        <v>3.9</v>
      </c>
      <c r="BP230" s="20" cm="1">
        <f t="array" aca="1" ref="BP230" ca="1">_FV(EE230,"Alto")</f>
        <v>4.24</v>
      </c>
      <c r="BQ230" s="32"/>
      <c r="BR230" s="74">
        <f ca="1">SQRT(22.5*(BG230/VLOOKUP(BH230,Fundamentus!A:U,3,FALSE))*(BG230/VLOOKUP(BH230,Fundamentus!A:U,4,FALSE)))</f>
        <v>76.231280941487086</v>
      </c>
      <c r="BT230" s="73">
        <f t="shared" ca="1" si="235"/>
        <v>-0.13436123348017617</v>
      </c>
      <c r="BU230" s="36">
        <f t="shared" si="236"/>
        <v>4.0160642570280979E-2</v>
      </c>
      <c r="BV230" s="8"/>
      <c r="BW230" s="72">
        <f t="shared" si="237"/>
        <v>3.2</v>
      </c>
      <c r="BX230" s="72">
        <f t="shared" si="238"/>
        <v>4.450086206896553</v>
      </c>
      <c r="BY230" s="72">
        <f t="shared" si="239"/>
        <v>7.31</v>
      </c>
      <c r="BZ230" s="17"/>
      <c r="CA230" s="17"/>
      <c r="CB230" s="43">
        <f t="shared" si="240"/>
        <v>4.1545594071687963</v>
      </c>
      <c r="CC230" s="18">
        <f t="shared" si="241"/>
        <v>5.1566073102153496</v>
      </c>
      <c r="CD230" s="43">
        <f t="shared" si="242"/>
        <v>6.1586552132619028</v>
      </c>
      <c r="CE230" s="98">
        <f t="shared" ca="1" si="243"/>
        <v>-1.2241004711312324</v>
      </c>
      <c r="CF230" s="17"/>
      <c r="CG230" s="20">
        <f t="shared" si="244"/>
        <v>-1.3866666666666658</v>
      </c>
      <c r="CH230" s="20">
        <f t="shared" si="245"/>
        <v>0.90666666666666718</v>
      </c>
      <c r="CI230" s="20">
        <f t="shared" si="246"/>
        <v>2.7233333333333336</v>
      </c>
      <c r="CJ230" s="49">
        <f t="shared" si="247"/>
        <v>5.0166666666666666</v>
      </c>
      <c r="CK230" s="20">
        <f t="shared" si="248"/>
        <v>6.833333333333333</v>
      </c>
      <c r="CL230" s="20">
        <f t="shared" si="249"/>
        <v>9.1266666666666652</v>
      </c>
      <c r="CM230" s="20">
        <f t="shared" si="250"/>
        <v>10.943333333333332</v>
      </c>
      <c r="CN230" s="2" cm="1">
        <f t="array" aca="1" ref="CN230" ca="1">MAX(_xlfn._xlws.FILTER(CG230:CM230,CG230:CM230&lt;BG230))</f>
        <v>2.7233333333333336</v>
      </c>
      <c r="CO230" s="2" cm="1">
        <f t="array" aca="1" ref="CO230" ca="1">MIN(_xlfn._xlws.FILTER($CG230:$CM230,$CG230:$CM230&gt;BG230))</f>
        <v>5.0166666666666666</v>
      </c>
      <c r="CP230" s="19">
        <f t="shared" ca="1" si="259"/>
        <v>0.84210526315789447</v>
      </c>
      <c r="CQ230" s="23">
        <f t="shared" ca="1" si="260"/>
        <v>-0.42105263157894723</v>
      </c>
      <c r="CR230" s="23">
        <f t="shared" ca="1" si="261"/>
        <v>-0.28070175438596484</v>
      </c>
      <c r="CS230" s="23">
        <f t="shared" ca="1" si="262"/>
        <v>-0.16842105263157889</v>
      </c>
      <c r="CT230" s="23">
        <f t="shared" ca="1" si="263"/>
        <v>-9.3567251461988271E-2</v>
      </c>
      <c r="CU230" s="23">
        <f t="shared" ca="1" si="264"/>
        <v>-4.9535603715170261E-2</v>
      </c>
      <c r="CV230" s="23">
        <f t="shared" ca="1" si="265"/>
        <v>-2.5518341307814985E-2</v>
      </c>
      <c r="CW230" s="23">
        <f t="shared" ca="1" si="266"/>
        <v>-1.295546558704453E-2</v>
      </c>
      <c r="CX230" s="24">
        <f t="shared" ca="1" si="267"/>
        <v>1.295546558704453E-2</v>
      </c>
      <c r="CY230" s="24">
        <f t="shared" ca="1" si="268"/>
        <v>2.5518341307814985E-2</v>
      </c>
      <c r="CZ230" s="24">
        <f t="shared" ca="1" si="269"/>
        <v>4.9535603715170261E-2</v>
      </c>
      <c r="DA230" s="24">
        <f t="shared" ca="1" si="270"/>
        <v>9.3567251461988271E-2</v>
      </c>
      <c r="DB230" s="24">
        <f t="shared" ca="1" si="271"/>
        <v>0.16842105263157889</v>
      </c>
      <c r="DC230" s="24">
        <f t="shared" ca="1" si="272"/>
        <v>0.28070175438596484</v>
      </c>
      <c r="DD230" s="24">
        <f t="shared" ca="1" si="273"/>
        <v>0.42105263157894723</v>
      </c>
      <c r="DF230" s="19" cm="1">
        <f t="array" aca="1" ref="DF230" ca="1">MAX(_xlfn._xlws.FILTER(CQ230:DD230,CQ230:DD230&lt;BJ230))</f>
        <v>-9.3567251461988271E-2</v>
      </c>
      <c r="DG230" s="19" cm="1">
        <f t="array" aca="1" ref="DG230" ca="1">MIN(_xlfn._xlws.FILTER(CQ230:DD230,CQ230:DD230&gt;BJ230))</f>
        <v>-4.9535603715170261E-2</v>
      </c>
      <c r="DH230" s="2" cm="1">
        <f t="array" aca="1" ref="DH230" ca="1">_FV(EE230,"Fechamento anterior",TRUE)</f>
        <v>4.1500000000000004</v>
      </c>
      <c r="DI230" s="36">
        <f t="shared" ca="1" si="251"/>
        <v>0.9210466867469872</v>
      </c>
      <c r="DJ230" s="18">
        <f t="shared" ca="1" si="274"/>
        <v>3.7616959064327489</v>
      </c>
      <c r="DK230" s="18">
        <f t="shared" ca="1" si="275"/>
        <v>3.9444272445820436</v>
      </c>
      <c r="DL230" s="9"/>
      <c r="DM230" s="9"/>
      <c r="DN230" s="9"/>
      <c r="DO230" s="9"/>
      <c r="DP230" s="79">
        <v>2.1895452613684658E-2</v>
      </c>
      <c r="DQ230" s="79">
        <v>1.1699855986492522E-2</v>
      </c>
      <c r="DR230" s="79">
        <v>2.1895452613684658E-2</v>
      </c>
      <c r="DS230" s="79">
        <f t="shared" ca="1" si="252"/>
        <v>4.403164774681801E-2</v>
      </c>
      <c r="DT230" s="47"/>
      <c r="DU230" s="43">
        <f t="shared" si="253"/>
        <v>0.5010239515232765</v>
      </c>
      <c r="DV230" s="83">
        <f t="shared" ca="1" si="254"/>
        <v>0.92449999999999999</v>
      </c>
      <c r="DW230" s="83">
        <f t="shared" ca="1" si="255"/>
        <v>5.7995999999999999</v>
      </c>
      <c r="DX230" s="83">
        <f t="shared" ca="1" si="234"/>
        <v>-4.8750999999999998</v>
      </c>
      <c r="DY230" s="67"/>
      <c r="DZ230" s="67"/>
      <c r="EA230" s="85"/>
      <c r="EB230" s="44">
        <v>39300</v>
      </c>
      <c r="EC230" s="44" cm="1">
        <f t="array" aca="1" ref="EC230" ca="1">_FV(EE230,"Volume")</f>
        <v>50100</v>
      </c>
      <c r="EE230" s="2" t="e" vm="232">
        <v>#VALUE!</v>
      </c>
      <c r="EG230" s="10" cm="1">
        <f t="array" aca="1" ref="EG230" ca="1">_FV(EE230,"Ações em circulação",TRUE)</f>
        <v>53857280</v>
      </c>
      <c r="EH230" s="21">
        <f>VLOOKUP(BH230,Fundamentus!A:U,5,FALSE)</f>
        <v>5.3999999999999999E-2</v>
      </c>
      <c r="EI230" s="2">
        <f t="shared" ca="1" si="256"/>
        <v>3919613155.5555558</v>
      </c>
      <c r="EJ230" s="20">
        <v>-947710598.44740736</v>
      </c>
      <c r="EK230" s="20">
        <f t="shared" ca="1" si="257"/>
        <v>-820375033.45777786</v>
      </c>
      <c r="EM230" s="40" t="str">
        <f>IF(VLOOKUP(BH230,Fundamentus!A:U,3,FALSE)&lt;15,"Bom",IF(VLOOKUP(BH230,Fundamentus!A:U,3,FALSE)&gt;15,"Ruim","n/a"))</f>
        <v>Bom</v>
      </c>
      <c r="EN230" s="36" t="str">
        <f>IF(VLOOKUP(BH230,Fundamentus!A:U,4,FALSE)&lt;1,"Baixo",IF(VLOOKUP(BH230,Fundamentus!A:U,4,FALSE)&lt;1.5,"Moderado",IF(VLOOKUP(BH230,Fundamentus!A:U,4,FALSE)&gt;1.5,"Alto","n/a")))</f>
        <v>Baixo</v>
      </c>
      <c r="EO230" s="20" t="str">
        <f>IF(VLOOKUP(BH230,Fundamentus!A:U,8,FALSE)&lt;0,"Risco elevado",IF(VLOOKUP(BH230,Fundamentus!A:U,8,FALSE)&lt;1,"Saudável",IF(VLOOKUP(BH230,Fundamentus!A:U,8,FALSE)&lt;3,"Estável",IF(VLOOKUP(BH230,Fundamentus!A:U,8,FALSE)&gt;3,"Alerta","n/a"))))</f>
        <v>Risco elevado</v>
      </c>
      <c r="EP230" s="36" t="str">
        <f t="shared" si="258"/>
        <v>Ruim</v>
      </c>
      <c r="EQ230" s="20" t="str">
        <f>IF(VLOOKUP(BH230,Fundamentus!A:U,12,FALSE)&lt;2,"Subvalorizada",IF(VLOOKUP(BH230,Fundamentus!A:U,12,FALSE)&lt;6,"Muita barata",IF(VLOOKUP(BH230,Fundamentus!A:U,12,FALSE)&lt;6,"Barata",IF(VLOOKUP(BH230,Fundamentus!A:U,12,FALSE)&lt;8,"Atrativa",IF(VLOOKUP(BH230,Fundamentus!A:U,12,FALSE)&gt;8,"Supervalorizada","n/a")))))</f>
        <v>Subvalorizada</v>
      </c>
      <c r="ES230" s="20" t="str">
        <f>IF(VLOOKUP(BH230,Fundamentus!A:U,17,FALSE)&lt;0.1,"Fraco retorno",IF(VLOOKUP(BH230,Fundamentus!A:U,17,FALSE)&gt;0.1,"Bom retorno","n/a"))</f>
        <v>Bom retorno</v>
      </c>
      <c r="ET230" s="20" t="str">
        <f>IF(VLOOKUP(BH230,Fundamentus!A:U,16,FALSE)&lt;0.1,"Ineficiente",IF(VLOOKUP(BH230,Fundamentus!A:U,16,FALSE)&gt;0.1,"Eficiente","n/a"))</f>
        <v>Ineficiente</v>
      </c>
      <c r="EU230" s="41" t="str">
        <f>IF(VLOOKUP(BH230,Fundamentus!A:U,16,FALSE)&lt;0.1,"Oper. Ineficiente",IF(VLOOKUP(BH230,Fundamentus!A:U,16,FALSE)&gt;0.1,"Oper.Eficiente","n/a"))</f>
        <v>Oper. Ineficiente</v>
      </c>
      <c r="EV230" s="42">
        <f>VLOOKUP(BH230,Fundamentus!A:U,14,FALSE)</f>
        <v>-0.20930000000000001</v>
      </c>
      <c r="EW230" s="20" t="str">
        <f>IF(VLOOKUP(BH230,Fundamentus!A:U,21,FALSE)&lt;0,"Negativo",IF(VLOOKUP(BH230,Fundamentus!A:U,21,FALSE)&lt;0.05,"Fraco",IF(VLOOKUP(BH230,Fundamentus!A:U,21,FALSE)&lt;0.1,"Bom",IF(VLOOKUP(BH230,Fundamentus!A:U,21,FALSE)&gt;0.1,"Muito bom","n/a"))))</f>
        <v>Muito bom</v>
      </c>
      <c r="EY230" s="37" t="str">
        <f>IF(VLOOKUP(BH230,Fundamentus!A:U,15,FALSE)&gt;1,"Bom",IF(VLOOKUP(BH230,Fundamentus!A:U,15,FALSE)&lt;1,"Ruim","n/a"))</f>
        <v>Ruim</v>
      </c>
      <c r="EZ230" s="20" t="str">
        <f>IF(VLOOKUP(BH230,Fundamentus!A:U,20,FALSE)&lt;0.5,"Baixa",IF(VLOOKUP(BH230,Fundamentus!A:U,20,FALSE)&lt;1,"Moderada",IF(VLOOKUP(BH230,Fundamentus!A:U,20,FALSE)&lt;2,"Alerta",IF(VLOOKUP(BH230,Fundamentus!A:U,20,FALSE)&gt;2,"Alta","n/a"))))</f>
        <v>Baixa</v>
      </c>
    </row>
    <row r="231" spans="1:156" s="2" customFormat="1" ht="11.25" hidden="1" x14ac:dyDescent="0.2">
      <c r="A231" s="4">
        <v>5.31</v>
      </c>
      <c r="B231" s="4">
        <v>5.01</v>
      </c>
      <c r="C231" s="4">
        <v>5.4</v>
      </c>
      <c r="D231" s="4">
        <v>4.79</v>
      </c>
      <c r="E231" s="4">
        <v>4.1500000000000004</v>
      </c>
      <c r="F231" s="4">
        <v>3.73</v>
      </c>
      <c r="G231" s="4">
        <v>3.6</v>
      </c>
      <c r="H231" s="4">
        <v>3.79</v>
      </c>
      <c r="I231" s="4">
        <v>3.34</v>
      </c>
      <c r="J231" s="4">
        <v>3.56</v>
      </c>
      <c r="K231" s="4">
        <v>3.73</v>
      </c>
      <c r="L231" s="4">
        <v>3.47</v>
      </c>
      <c r="M231" s="4">
        <v>3.37</v>
      </c>
      <c r="N231" s="4">
        <v>2.93</v>
      </c>
      <c r="O231" s="4">
        <v>3.1</v>
      </c>
      <c r="P231" s="4">
        <v>2.63</v>
      </c>
      <c r="Q231" s="4">
        <v>2.91</v>
      </c>
      <c r="R231" s="4">
        <v>2.63</v>
      </c>
      <c r="S231" s="4">
        <v>2.58</v>
      </c>
      <c r="T231" s="4">
        <v>2.58</v>
      </c>
      <c r="U231" s="4">
        <v>2.2799999999999998</v>
      </c>
      <c r="V231" s="4">
        <v>2.31</v>
      </c>
      <c r="W231" s="4">
        <v>2.11</v>
      </c>
      <c r="X231" s="4">
        <v>1.9</v>
      </c>
      <c r="Y231" s="4">
        <v>1.72</v>
      </c>
      <c r="Z231" s="4">
        <v>1.66</v>
      </c>
      <c r="AA231" s="4">
        <v>1.46</v>
      </c>
      <c r="AB231" s="4">
        <v>1.49</v>
      </c>
      <c r="AC231" s="4">
        <v>1.4</v>
      </c>
      <c r="AD231" s="4">
        <v>1.59</v>
      </c>
      <c r="AE231" s="4">
        <v>1.48</v>
      </c>
      <c r="AF231" s="4">
        <v>1.3</v>
      </c>
      <c r="AG231" s="4">
        <v>1.29</v>
      </c>
      <c r="AH231" s="4">
        <v>1.1399999999999999</v>
      </c>
      <c r="AI231" s="4">
        <v>1.1499999999999999</v>
      </c>
      <c r="AJ231" s="4">
        <v>1.18</v>
      </c>
      <c r="AK231" s="4">
        <v>1.1599999999999999</v>
      </c>
      <c r="AL231" s="4">
        <v>1.27</v>
      </c>
      <c r="AM231" s="4">
        <v>1.33</v>
      </c>
      <c r="AN231" s="4">
        <v>1.37</v>
      </c>
      <c r="AO231" s="4">
        <v>1.27</v>
      </c>
      <c r="AP231" s="4">
        <v>1.1200000000000001</v>
      </c>
      <c r="AQ231" s="4">
        <v>1.1000000000000001</v>
      </c>
      <c r="AR231" s="4">
        <v>1.1000000000000001</v>
      </c>
      <c r="AS231" s="4">
        <v>1.19</v>
      </c>
      <c r="AT231" s="4">
        <v>1.19</v>
      </c>
      <c r="AU231" s="4">
        <v>1.28</v>
      </c>
      <c r="AV231" s="4">
        <v>2.11</v>
      </c>
      <c r="AW231" s="4">
        <v>2</v>
      </c>
      <c r="AX231" s="4">
        <v>1.74</v>
      </c>
      <c r="AY231" s="12">
        <v>1.57</v>
      </c>
      <c r="AZ231" s="12">
        <v>1.56</v>
      </c>
      <c r="BA231" s="12">
        <v>1.4</v>
      </c>
      <c r="BB231" s="18">
        <v>1.24</v>
      </c>
      <c r="BC231" s="63">
        <v>1.29</v>
      </c>
      <c r="BD231" s="63">
        <v>1.23</v>
      </c>
      <c r="BE231" s="63">
        <v>1.22</v>
      </c>
      <c r="BF231" s="63">
        <v>1.23</v>
      </c>
      <c r="BG231" s="91" cm="1">
        <f t="array" aca="1" ref="BG231" ca="1">_FV(EE231,"Preço")</f>
        <v>1.24</v>
      </c>
      <c r="BH231" s="93" t="s">
        <v>228</v>
      </c>
      <c r="BI231" s="32" cm="1">
        <f t="array" aca="1" ref="BI231" ca="1">_FV(EE231,"Beta")</f>
        <v>1.8241000000000001</v>
      </c>
      <c r="BJ231" s="96" cm="1">
        <f t="array" aca="1" ref="BJ231" ca="1">_FV(EE231,"Variação (%)",TRUE)</f>
        <v>0</v>
      </c>
      <c r="BK231" s="49"/>
      <c r="BL231" s="49"/>
      <c r="BN231" s="32"/>
      <c r="BO231" s="20" cm="1">
        <f t="array" aca="1" ref="BO231" ca="1">_FV(EE231,"Baixo")</f>
        <v>1.22</v>
      </c>
      <c r="BP231" s="20" cm="1">
        <f t="array" aca="1" ref="BP231" ca="1">_FV(EE231,"Alto")</f>
        <v>1.3</v>
      </c>
      <c r="BQ231" s="32"/>
      <c r="BR231" s="74" t="e">
        <f ca="1">SQRT(22.5*(BG231/VLOOKUP(BH231,Fundamentus!A:U,3,FALSE))*(BG231/VLOOKUP(BH231,Fundamentus!A:U,4,FALSE)))</f>
        <v>#NUM!</v>
      </c>
      <c r="BT231" s="73">
        <f t="shared" ca="1" si="235"/>
        <v>8.1300813008130159E-3</v>
      </c>
      <c r="BU231" s="36">
        <f t="shared" si="236"/>
        <v>-0.77024482109227876</v>
      </c>
      <c r="BV231" s="8"/>
      <c r="BW231" s="72">
        <f t="shared" si="237"/>
        <v>1.1000000000000001</v>
      </c>
      <c r="BX231" s="72">
        <f t="shared" si="238"/>
        <v>2.2075862068965515</v>
      </c>
      <c r="BY231" s="72">
        <f t="shared" si="239"/>
        <v>5.4</v>
      </c>
      <c r="BZ231" s="17"/>
      <c r="CA231" s="17"/>
      <c r="CB231" s="43">
        <f t="shared" si="240"/>
        <v>1.1396363521446227</v>
      </c>
      <c r="CC231" s="18">
        <f t="shared" si="241"/>
        <v>1.1950890346766698</v>
      </c>
      <c r="CD231" s="43">
        <f t="shared" si="242"/>
        <v>1.250541717208717</v>
      </c>
      <c r="CE231" s="98">
        <f t="shared" ca="1" si="243"/>
        <v>0.8098970739129755</v>
      </c>
      <c r="CF231" s="17"/>
      <c r="CG231" s="20">
        <f t="shared" si="244"/>
        <v>-4.5466666666666669</v>
      </c>
      <c r="CH231" s="20">
        <f t="shared" si="245"/>
        <v>-1.723333333333334</v>
      </c>
      <c r="CI231" s="20">
        <f t="shared" si="246"/>
        <v>-0.24666666666666703</v>
      </c>
      <c r="CJ231" s="49">
        <f t="shared" si="247"/>
        <v>2.5766666666666667</v>
      </c>
      <c r="CK231" s="20">
        <f t="shared" si="248"/>
        <v>4.0533333333333328</v>
      </c>
      <c r="CL231" s="20">
        <f t="shared" si="249"/>
        <v>6.8766666666666669</v>
      </c>
      <c r="CM231" s="20">
        <f t="shared" si="250"/>
        <v>8.3533333333333335</v>
      </c>
      <c r="CN231" s="2" cm="1">
        <f t="array" aca="1" ref="CN231" ca="1">MAX(_xlfn._xlws.FILTER(CG231:CM231,CG231:CM231&lt;BG231))</f>
        <v>-0.24666666666666703</v>
      </c>
      <c r="CO231" s="2" cm="1">
        <f t="array" aca="1" ref="CO231" ca="1">MIN(_xlfn._xlws.FILTER($CG231:$CM231,$CG231:$CM231&gt;BG231))</f>
        <v>2.5766666666666667</v>
      </c>
      <c r="CP231" s="19">
        <f t="shared" ca="1" si="259"/>
        <v>-11.44594594594593</v>
      </c>
      <c r="CQ231" s="23">
        <f t="shared" ca="1" si="260"/>
        <v>5.7229729729729648</v>
      </c>
      <c r="CR231" s="23">
        <f t="shared" ca="1" si="261"/>
        <v>3.8153153153153099</v>
      </c>
      <c r="CS231" s="23">
        <f t="shared" ca="1" si="262"/>
        <v>2.289189189189186</v>
      </c>
      <c r="CT231" s="23">
        <f t="shared" ca="1" si="263"/>
        <v>1.27177177177177</v>
      </c>
      <c r="CU231" s="23">
        <f t="shared" ca="1" si="264"/>
        <v>0.67329093799681938</v>
      </c>
      <c r="CV231" s="23">
        <f t="shared" ca="1" si="265"/>
        <v>0.34684684684684636</v>
      </c>
      <c r="CW231" s="23">
        <f t="shared" ca="1" si="266"/>
        <v>0.17609147609147585</v>
      </c>
      <c r="CX231" s="24">
        <f t="shared" ca="1" si="267"/>
        <v>-0.17609147609147585</v>
      </c>
      <c r="CY231" s="24">
        <f t="shared" ca="1" si="268"/>
        <v>-0.34684684684684636</v>
      </c>
      <c r="CZ231" s="24">
        <f t="shared" ca="1" si="269"/>
        <v>-0.67329093799681938</v>
      </c>
      <c r="DA231" s="24">
        <f t="shared" ca="1" si="270"/>
        <v>-1.27177177177177</v>
      </c>
      <c r="DB231" s="24">
        <f t="shared" ca="1" si="271"/>
        <v>-2.289189189189186</v>
      </c>
      <c r="DC231" s="24">
        <f t="shared" ca="1" si="272"/>
        <v>-3.8153153153153099</v>
      </c>
      <c r="DD231" s="24">
        <f t="shared" ca="1" si="273"/>
        <v>-5.7229729729729648</v>
      </c>
      <c r="DF231" s="19" cm="1">
        <f t="array" aca="1" ref="DF231" ca="1">MAX(_xlfn._xlws.FILTER(CQ231:DD231,CQ231:DD231&lt;BJ231))</f>
        <v>-0.17609147609147585</v>
      </c>
      <c r="DG231" s="19" cm="1">
        <f t="array" aca="1" ref="DG231" ca="1">MIN(_xlfn._xlws.FILTER(CQ231:DD231,CQ231:DD231&gt;BJ231))</f>
        <v>0.17609147609147585</v>
      </c>
      <c r="DH231" s="2" cm="1">
        <f t="array" aca="1" ref="DH231" ca="1">_FV(EE231,"Fechamento anterior",TRUE)</f>
        <v>1.24</v>
      </c>
      <c r="DI231" s="36">
        <f t="shared" ca="1" si="251"/>
        <v>0.5</v>
      </c>
      <c r="DJ231" s="18">
        <f t="shared" ca="1" si="274"/>
        <v>1.02164656964657</v>
      </c>
      <c r="DK231" s="18">
        <f t="shared" ca="1" si="275"/>
        <v>1.45835343035343</v>
      </c>
      <c r="DL231" s="9"/>
      <c r="DM231" s="9"/>
      <c r="DN231" s="9"/>
      <c r="DO231" s="9"/>
      <c r="DP231" s="79">
        <v>0.24022582921665406</v>
      </c>
      <c r="DQ231" s="79">
        <v>0.24022582921665406</v>
      </c>
      <c r="DR231" s="79">
        <v>0.24022582921665406</v>
      </c>
      <c r="DS231" s="79">
        <f t="shared" ca="1" si="252"/>
        <v>0.3521829521829517</v>
      </c>
      <c r="DT231" s="47"/>
      <c r="DU231" s="43">
        <f t="shared" si="253"/>
        <v>2.7726341266023569E-2</v>
      </c>
      <c r="DV231" s="83">
        <f t="shared" ca="1" si="254"/>
        <v>2.2502</v>
      </c>
      <c r="DW231" s="83">
        <f t="shared" ca="1" si="255"/>
        <v>1.8241000000000001</v>
      </c>
      <c r="DX231" s="83">
        <f t="shared" ca="1" si="234"/>
        <v>0.42609999999999992</v>
      </c>
      <c r="DY231" s="67"/>
      <c r="DZ231" s="67"/>
      <c r="EA231" s="85"/>
      <c r="EB231" s="44">
        <v>2452400</v>
      </c>
      <c r="EC231" s="44" cm="1">
        <f t="array" aca="1" ref="EC231" ca="1">_FV(EE231,"Volume")</f>
        <v>5243200</v>
      </c>
      <c r="EE231" s="2" t="e" vm="233">
        <v>#VALUE!</v>
      </c>
      <c r="EG231" s="10" cm="1">
        <f t="array" aca="1" ref="EG231" ca="1">_FV(EE231,"Ações em circulação",TRUE)</f>
        <v>134575600</v>
      </c>
      <c r="EH231" s="21">
        <f>VLOOKUP(BH231,Fundamentus!A:U,5,FALSE)</f>
        <v>0.16800000000000001</v>
      </c>
      <c r="EI231" s="2">
        <f t="shared" ca="1" si="256"/>
        <v>993296095.23809516</v>
      </c>
      <c r="EJ231" s="20">
        <v>-39411425.714285716</v>
      </c>
      <c r="EK231" s="20">
        <f t="shared" ca="1" si="257"/>
        <v>-39731843.809523806</v>
      </c>
      <c r="EM231" s="40" t="str">
        <f>IF(VLOOKUP(BH231,Fundamentus!A:U,3,FALSE)&lt;15,"Bom",IF(VLOOKUP(BH231,Fundamentus!A:U,3,FALSE)&gt;15,"Ruim","n/a"))</f>
        <v>Bom</v>
      </c>
      <c r="EN231" s="36" t="str">
        <f>IF(VLOOKUP(BH231,Fundamentus!A:U,4,FALSE)&lt;1,"Baixo",IF(VLOOKUP(BH231,Fundamentus!A:U,4,FALSE)&lt;1.5,"Moderado",IF(VLOOKUP(BH231,Fundamentus!A:U,4,FALSE)&gt;1.5,"Alto","n/a")))</f>
        <v>Baixo</v>
      </c>
      <c r="EO231" s="20" t="str">
        <f>IF(VLOOKUP(BH231,Fundamentus!A:U,8,FALSE)&lt;0,"Risco elevado",IF(VLOOKUP(BH231,Fundamentus!A:U,8,FALSE)&lt;1,"Saudável",IF(VLOOKUP(BH231,Fundamentus!A:U,8,FALSE)&lt;3,"Estável",IF(VLOOKUP(BH231,Fundamentus!A:U,8,FALSE)&gt;3,"Alerta","n/a"))))</f>
        <v>Saudável</v>
      </c>
      <c r="EP231" s="36" t="str">
        <f t="shared" si="258"/>
        <v>Ruim</v>
      </c>
      <c r="EQ231" s="20" t="str">
        <f>IF(VLOOKUP(BH231,Fundamentus!A:U,12,FALSE)&lt;2,"Subvalorizada",IF(VLOOKUP(BH231,Fundamentus!A:U,12,FALSE)&lt;6,"Muita barata",IF(VLOOKUP(BH231,Fundamentus!A:U,12,FALSE)&lt;6,"Barata",IF(VLOOKUP(BH231,Fundamentus!A:U,12,FALSE)&lt;8,"Atrativa",IF(VLOOKUP(BH231,Fundamentus!A:U,12,FALSE)&gt;8,"Supervalorizada","n/a")))))</f>
        <v>Subvalorizada</v>
      </c>
      <c r="ES231" s="20" t="str">
        <f>IF(VLOOKUP(BH231,Fundamentus!A:U,17,FALSE)&lt;0.1,"Fraco retorno",IF(VLOOKUP(BH231,Fundamentus!A:U,17,FALSE)&gt;0.1,"Bom retorno","n/a"))</f>
        <v>Fraco retorno</v>
      </c>
      <c r="ET231" s="20" t="str">
        <f>IF(VLOOKUP(BH231,Fundamentus!A:U,16,FALSE)&lt;0.1,"Ineficiente",IF(VLOOKUP(BH231,Fundamentus!A:U,16,FALSE)&gt;0.1,"Eficiente","n/a"))</f>
        <v>Ineficiente</v>
      </c>
      <c r="EU231" s="41" t="str">
        <f>IF(VLOOKUP(BH231,Fundamentus!A:U,16,FALSE)&lt;0.1,"Oper. Ineficiente",IF(VLOOKUP(BH231,Fundamentus!A:U,16,FALSE)&gt;0.1,"Oper.Eficiente","n/a"))</f>
        <v>Oper. Ineficiente</v>
      </c>
      <c r="EV231" s="42">
        <f>VLOOKUP(BH231,Fundamentus!A:U,14,FALSE)</f>
        <v>-0.04</v>
      </c>
      <c r="EW231" s="20" t="str">
        <f>IF(VLOOKUP(BH231,Fundamentus!A:U,21,FALSE)&lt;0,"Negativo",IF(VLOOKUP(BH231,Fundamentus!A:U,21,FALSE)&lt;0.05,"Fraco",IF(VLOOKUP(BH231,Fundamentus!A:U,21,FALSE)&lt;0.1,"Bom",IF(VLOOKUP(BH231,Fundamentus!A:U,21,FALSE)&gt;0.1,"Muito bom","n/a"))))</f>
        <v>Fraco</v>
      </c>
      <c r="EY231" s="37" t="str">
        <f>IF(VLOOKUP(BH231,Fundamentus!A:U,15,FALSE)&gt;1,"Bom",IF(VLOOKUP(BH231,Fundamentus!A:U,15,FALSE)&lt;1,"Ruim","n/a"))</f>
        <v>Bom</v>
      </c>
      <c r="EZ231" s="20" t="str">
        <f>IF(VLOOKUP(BH231,Fundamentus!A:U,20,FALSE)&lt;0.5,"Baixa",IF(VLOOKUP(BH231,Fundamentus!A:U,20,FALSE)&lt;1,"Moderada",IF(VLOOKUP(BH231,Fundamentus!A:U,20,FALSE)&lt;2,"Alerta",IF(VLOOKUP(BH231,Fundamentus!A:U,20,FALSE)&gt;2,"Alta","n/a"))))</f>
        <v>Moderada</v>
      </c>
    </row>
    <row r="232" spans="1:156" s="2" customFormat="1" ht="11.25" hidden="1" x14ac:dyDescent="0.2">
      <c r="A232" s="4">
        <v>30.26</v>
      </c>
      <c r="B232" s="4">
        <v>30.39</v>
      </c>
      <c r="C232" s="4">
        <v>30.33</v>
      </c>
      <c r="D232" s="4">
        <v>29.67</v>
      </c>
      <c r="E232" s="4">
        <v>27.25</v>
      </c>
      <c r="F232" s="4">
        <v>28.71</v>
      </c>
      <c r="G232" s="4">
        <v>28.74</v>
      </c>
      <c r="H232" s="4">
        <v>29.05</v>
      </c>
      <c r="I232" s="4">
        <v>28.7</v>
      </c>
      <c r="J232" s="4">
        <v>28.95</v>
      </c>
      <c r="K232" s="4">
        <v>29.47</v>
      </c>
      <c r="L232" s="4">
        <v>28.37</v>
      </c>
      <c r="M232" s="4">
        <v>29.51</v>
      </c>
      <c r="N232" s="4">
        <v>28.25</v>
      </c>
      <c r="O232" s="4">
        <v>29.41</v>
      </c>
      <c r="P232" s="4">
        <v>31.2</v>
      </c>
      <c r="Q232" s="4">
        <v>31.03</v>
      </c>
      <c r="R232" s="4">
        <v>28.54</v>
      </c>
      <c r="S232" s="4">
        <v>28.32</v>
      </c>
      <c r="T232" s="4">
        <v>29.08</v>
      </c>
      <c r="U232" s="4">
        <v>27.31</v>
      </c>
      <c r="V232" s="4">
        <v>26.7</v>
      </c>
      <c r="W232" s="4">
        <v>26.8</v>
      </c>
      <c r="X232" s="4">
        <v>26.62</v>
      </c>
      <c r="Y232" s="4">
        <v>26.91</v>
      </c>
      <c r="Z232" s="4">
        <v>26.2</v>
      </c>
      <c r="AA232" s="4">
        <v>22.72</v>
      </c>
      <c r="AB232" s="4">
        <v>20.96</v>
      </c>
      <c r="AC232" s="4">
        <v>20.6</v>
      </c>
      <c r="AD232" s="4">
        <v>20.18</v>
      </c>
      <c r="AE232" s="4">
        <v>19.52</v>
      </c>
      <c r="AF232" s="4">
        <v>18.989999999999998</v>
      </c>
      <c r="AG232" s="4">
        <v>18.420000000000002</v>
      </c>
      <c r="AH232" s="4">
        <v>18.649999999999999</v>
      </c>
      <c r="AI232" s="4">
        <v>18.03</v>
      </c>
      <c r="AJ232" s="4">
        <v>17.920000000000002</v>
      </c>
      <c r="AK232" s="4">
        <v>17.82</v>
      </c>
      <c r="AL232" s="4">
        <v>18.29</v>
      </c>
      <c r="AM232" s="4">
        <v>18.399999999999999</v>
      </c>
      <c r="AN232" s="4">
        <v>18.28</v>
      </c>
      <c r="AO232" s="4">
        <v>18.55</v>
      </c>
      <c r="AP232" s="4">
        <v>19.72</v>
      </c>
      <c r="AQ232" s="4">
        <v>19.52</v>
      </c>
      <c r="AR232" s="4">
        <v>19.05</v>
      </c>
      <c r="AS232" s="4">
        <v>19.54</v>
      </c>
      <c r="AT232" s="4">
        <v>20.34</v>
      </c>
      <c r="AU232" s="4">
        <v>19.875</v>
      </c>
      <c r="AV232" s="4">
        <v>19.760000000000002</v>
      </c>
      <c r="AW232" s="4">
        <v>20.329999999999998</v>
      </c>
      <c r="AX232" s="4">
        <v>19.37</v>
      </c>
      <c r="AY232" s="12">
        <v>19.97</v>
      </c>
      <c r="AZ232" s="12">
        <v>24.03</v>
      </c>
      <c r="BA232" s="12">
        <v>24.12</v>
      </c>
      <c r="BB232" s="18">
        <v>22.8</v>
      </c>
      <c r="BC232" s="63">
        <v>24.69</v>
      </c>
      <c r="BD232" s="63">
        <v>24.45</v>
      </c>
      <c r="BE232" s="63">
        <v>25.4</v>
      </c>
      <c r="BF232" s="63">
        <v>25.99</v>
      </c>
      <c r="BG232" s="91" cm="1">
        <f t="array" aca="1" ref="BG232" ca="1">_FV(EE232,"Preço")</f>
        <v>27.8</v>
      </c>
      <c r="BH232" s="93" t="s">
        <v>229</v>
      </c>
      <c r="BI232" s="32" cm="1">
        <f t="array" aca="1" ref="BI232" ca="1">_FV(EE232,"Beta")</f>
        <v>1.1194</v>
      </c>
      <c r="BJ232" s="96" cm="1">
        <f t="array" aca="1" ref="BJ232" ca="1">_FV(EE232,"Variação (%)",TRUE)</f>
        <v>9.8069999999999997E-3</v>
      </c>
      <c r="BK232" s="49"/>
      <c r="BL232" s="49"/>
      <c r="BN232" s="32"/>
      <c r="BO232" s="20" cm="1">
        <f t="array" aca="1" ref="BO232" ca="1">_FV(EE232,"Baixo")</f>
        <v>27</v>
      </c>
      <c r="BP232" s="20" cm="1">
        <f t="array" aca="1" ref="BP232" ca="1">_FV(EE232,"Alto")</f>
        <v>28.15</v>
      </c>
      <c r="BQ232" s="32"/>
      <c r="BR232" s="74">
        <f ca="1">SQRT(22.5*(BG232/VLOOKUP(BH232,Fundamentus!A:U,3,FALSE))*(BG232/VLOOKUP(BH232,Fundamentus!A:U,4,FALSE)))</f>
        <v>24.334174361273895</v>
      </c>
      <c r="BT232" s="73">
        <f t="shared" ca="1" si="235"/>
        <v>6.9642170065409861E-2</v>
      </c>
      <c r="BU232" s="36">
        <f t="shared" si="236"/>
        <v>-0.16060806345009923</v>
      </c>
      <c r="BV232" s="8"/>
      <c r="BW232" s="72">
        <f t="shared" si="237"/>
        <v>17.82</v>
      </c>
      <c r="BX232" s="72">
        <f t="shared" si="238"/>
        <v>24.17336206896551</v>
      </c>
      <c r="BY232" s="72">
        <f t="shared" si="239"/>
        <v>31.2</v>
      </c>
      <c r="BZ232" s="17"/>
      <c r="CA232" s="17"/>
      <c r="CB232" s="43">
        <f t="shared" si="240"/>
        <v>25.079683656619576</v>
      </c>
      <c r="CC232" s="18">
        <f t="shared" si="241"/>
        <v>26.291490159325349</v>
      </c>
      <c r="CD232" s="43">
        <f t="shared" si="242"/>
        <v>27.503296662031122</v>
      </c>
      <c r="CE232" s="98">
        <f t="shared" ca="1" si="243"/>
        <v>1.244843823916101</v>
      </c>
      <c r="CF232" s="17"/>
      <c r="CG232" s="20">
        <f t="shared" si="244"/>
        <v>5.4266666666666623</v>
      </c>
      <c r="CH232" s="20">
        <f t="shared" si="245"/>
        <v>11.623333333333331</v>
      </c>
      <c r="CI232" s="20">
        <f t="shared" si="246"/>
        <v>18.806666666666661</v>
      </c>
      <c r="CJ232" s="49">
        <f t="shared" si="247"/>
        <v>25.00333333333333</v>
      </c>
      <c r="CK232" s="20">
        <f t="shared" si="248"/>
        <v>32.18666666666666</v>
      </c>
      <c r="CL232" s="20">
        <f t="shared" si="249"/>
        <v>38.383333333333326</v>
      </c>
      <c r="CM232" s="20">
        <f t="shared" si="250"/>
        <v>45.566666666666663</v>
      </c>
      <c r="CN232" s="2" cm="1">
        <f t="array" aca="1" ref="CN232" ca="1">MAX(_xlfn._xlws.FILTER(CG232:CM232,CG232:CM232&lt;BG232))</f>
        <v>25.00333333333333</v>
      </c>
      <c r="CO232" s="2" cm="1">
        <f t="array" aca="1" ref="CO232" ca="1">MIN(_xlfn._xlws.FILTER($CG232:$CM232,$CG232:$CM232&gt;BG232))</f>
        <v>32.18666666666666</v>
      </c>
      <c r="CP232" s="19">
        <f t="shared" ca="1" si="259"/>
        <v>0.28729502732968926</v>
      </c>
      <c r="CQ232" s="23">
        <f t="shared" ca="1" si="260"/>
        <v>-0.14364751366484463</v>
      </c>
      <c r="CR232" s="23">
        <f t="shared" ca="1" si="261"/>
        <v>-9.5765009109896423E-2</v>
      </c>
      <c r="CS232" s="23">
        <f t="shared" ca="1" si="262"/>
        <v>-5.7459005465937851E-2</v>
      </c>
      <c r="CT232" s="23">
        <f t="shared" ca="1" si="263"/>
        <v>-3.1921669703298808E-2</v>
      </c>
      <c r="CU232" s="23">
        <f t="shared" ca="1" si="264"/>
        <v>-1.6899707489981722E-2</v>
      </c>
      <c r="CV232" s="23">
        <f t="shared" ca="1" si="265"/>
        <v>-8.7059099190814927E-3</v>
      </c>
      <c r="CW232" s="23">
        <f t="shared" ca="1" si="266"/>
        <v>-4.4199234973798344E-3</v>
      </c>
      <c r="CX232" s="24">
        <f t="shared" ca="1" si="267"/>
        <v>4.4199234973798344E-3</v>
      </c>
      <c r="CY232" s="24">
        <f t="shared" ca="1" si="268"/>
        <v>8.7059099190814927E-3</v>
      </c>
      <c r="CZ232" s="24">
        <f t="shared" ca="1" si="269"/>
        <v>1.6899707489981722E-2</v>
      </c>
      <c r="DA232" s="24">
        <f t="shared" ca="1" si="270"/>
        <v>3.1921669703298808E-2</v>
      </c>
      <c r="DB232" s="24">
        <f t="shared" ca="1" si="271"/>
        <v>5.7459005465937851E-2</v>
      </c>
      <c r="DC232" s="24">
        <f t="shared" ca="1" si="272"/>
        <v>9.5765009109896423E-2</v>
      </c>
      <c r="DD232" s="24">
        <f t="shared" ca="1" si="273"/>
        <v>0.14364751366484463</v>
      </c>
      <c r="DF232" s="19" cm="1">
        <f t="array" aca="1" ref="DF232" ca="1">MAX(_xlfn._xlws.FILTER(CQ232:DD232,CQ232:DD232&lt;BJ232))</f>
        <v>8.7059099190814927E-3</v>
      </c>
      <c r="DG232" s="19" cm="1">
        <f t="array" aca="1" ref="DG232" ca="1">MIN(_xlfn._xlws.FILTER(CQ232:DD232,CQ232:DD232&gt;BJ232))</f>
        <v>1.6899707489981722E-2</v>
      </c>
      <c r="DH232" s="2" cm="1">
        <f t="array" aca="1" ref="DH232" ca="1">_FV(EE232,"Fechamento anterior",TRUE)</f>
        <v>27.53</v>
      </c>
      <c r="DI232" s="36">
        <f t="shared" ca="1" si="251"/>
        <v>0.13443983909559265</v>
      </c>
      <c r="DJ232" s="18">
        <f t="shared" ca="1" si="274"/>
        <v>27.769673700072314</v>
      </c>
      <c r="DK232" s="18">
        <f t="shared" ca="1" si="275"/>
        <v>27.995248947199197</v>
      </c>
      <c r="DL232" s="9"/>
      <c r="DM232" s="9"/>
      <c r="DN232" s="9"/>
      <c r="DO232" s="9"/>
      <c r="DP232" s="79">
        <v>6.2871543601766729E-3</v>
      </c>
      <c r="DQ232" s="79">
        <v>6.7828723001136801E-3</v>
      </c>
      <c r="DR232" s="79">
        <v>1.1526449660323901E-2</v>
      </c>
      <c r="DS232" s="79">
        <f t="shared" ca="1" si="252"/>
        <v>8.1937975709002291E-3</v>
      </c>
      <c r="DT232" s="47"/>
      <c r="DU232" s="43">
        <f t="shared" si="253"/>
        <v>0.60590325135288647</v>
      </c>
      <c r="DV232" s="83">
        <f t="shared" ca="1" si="254"/>
        <v>1.5454999999999999</v>
      </c>
      <c r="DW232" s="83">
        <f t="shared" ca="1" si="255"/>
        <v>0.13869999999999993</v>
      </c>
      <c r="DX232" s="83">
        <f t="shared" ca="1" si="234"/>
        <v>1.4068000000000001</v>
      </c>
      <c r="DY232" s="67"/>
      <c r="DZ232" s="67"/>
      <c r="EA232" s="85"/>
      <c r="EB232" s="44">
        <v>2881100</v>
      </c>
      <c r="EC232" s="44" cm="1">
        <f t="array" aca="1" ref="EC232" ca="1">_FV(EE232,"Volume")</f>
        <v>5277900</v>
      </c>
      <c r="EE232" s="2" t="e" vm="234">
        <v>#VALUE!</v>
      </c>
      <c r="EG232" s="10" cm="1">
        <f t="array" aca="1" ref="EG232" ca="1">_FV(EE232,"Ações em circulação",TRUE)</f>
        <v>633420800</v>
      </c>
      <c r="EH232" s="21">
        <f>VLOOKUP(BH232,Fundamentus!A:U,5,FALSE)</f>
        <v>2.4969999999999999</v>
      </c>
      <c r="EI232" s="2">
        <f t="shared" ca="1" si="256"/>
        <v>7052101818.181819</v>
      </c>
      <c r="EJ232" s="20">
        <v>788517320.14545441</v>
      </c>
      <c r="EK232" s="20">
        <f t="shared" ca="1" si="257"/>
        <v>843431377.4545455</v>
      </c>
      <c r="EM232" s="40" t="str">
        <f>IF(VLOOKUP(BH232,Fundamentus!A:U,3,FALSE)&lt;15,"Bom",IF(VLOOKUP(BH232,Fundamentus!A:U,3,FALSE)&gt;15,"Ruim","n/a"))</f>
        <v>Ruim</v>
      </c>
      <c r="EN232" s="36" t="str">
        <f>IF(VLOOKUP(BH232,Fundamentus!A:U,4,FALSE)&lt;1,"Baixo",IF(VLOOKUP(BH232,Fundamentus!A:U,4,FALSE)&lt;1.5,"Moderado",IF(VLOOKUP(BH232,Fundamentus!A:U,4,FALSE)&gt;1.5,"Alto","n/a")))</f>
        <v>Moderado</v>
      </c>
      <c r="EO232" s="20" t="str">
        <f>IF(VLOOKUP(BH232,Fundamentus!A:U,8,FALSE)&lt;0,"Risco elevado",IF(VLOOKUP(BH232,Fundamentus!A:U,8,FALSE)&lt;1,"Saudável",IF(VLOOKUP(BH232,Fundamentus!A:U,8,FALSE)&lt;3,"Estável",IF(VLOOKUP(BH232,Fundamentus!A:U,8,FALSE)&gt;3,"Alerta","n/a"))))</f>
        <v>Alerta</v>
      </c>
      <c r="EP232" s="36" t="str">
        <f t="shared" si="258"/>
        <v>Bom</v>
      </c>
      <c r="EQ232" s="20" t="str">
        <f>IF(VLOOKUP(BH232,Fundamentus!A:U,12,FALSE)&lt;2,"Subvalorizada",IF(VLOOKUP(BH232,Fundamentus!A:U,12,FALSE)&lt;6,"Muita barata",IF(VLOOKUP(BH232,Fundamentus!A:U,12,FALSE)&lt;6,"Barata",IF(VLOOKUP(BH232,Fundamentus!A:U,12,FALSE)&lt;8,"Atrativa",IF(VLOOKUP(BH232,Fundamentus!A:U,12,FALSE)&gt;8,"Supervalorizada","n/a")))))</f>
        <v>Supervalorizada</v>
      </c>
      <c r="ES232" s="20" t="str">
        <f>IF(VLOOKUP(BH232,Fundamentus!A:U,17,FALSE)&lt;0.1,"Fraco retorno",IF(VLOOKUP(BH232,Fundamentus!A:U,17,FALSE)&gt;0.1,"Bom retorno","n/a"))</f>
        <v>Fraco retorno</v>
      </c>
      <c r="ET232" s="20" t="str">
        <f>IF(VLOOKUP(BH232,Fundamentus!A:U,16,FALSE)&lt;0.1,"Ineficiente",IF(VLOOKUP(BH232,Fundamentus!A:U,16,FALSE)&gt;0.1,"Eficiente","n/a"))</f>
        <v>Ineficiente</v>
      </c>
      <c r="EU232" s="41" t="str">
        <f>IF(VLOOKUP(BH232,Fundamentus!A:U,16,FALSE)&lt;0.1,"Oper. Ineficiente",IF(VLOOKUP(BH232,Fundamentus!A:U,16,FALSE)&gt;0.1,"Oper.Eficiente","n/a"))</f>
        <v>Oper. Ineficiente</v>
      </c>
      <c r="EV232" s="42">
        <f>VLOOKUP(BH232,Fundamentus!A:U,14,FALSE)</f>
        <v>0.1196</v>
      </c>
      <c r="EW232" s="20" t="str">
        <f>IF(VLOOKUP(BH232,Fundamentus!A:U,21,FALSE)&lt;0,"Negativo",IF(VLOOKUP(BH232,Fundamentus!A:U,21,FALSE)&lt;0.05,"Fraco",IF(VLOOKUP(BH232,Fundamentus!A:U,21,FALSE)&lt;0.1,"Bom",IF(VLOOKUP(BH232,Fundamentus!A:U,21,FALSE)&gt;0.1,"Muito bom","n/a"))))</f>
        <v>Muito bom</v>
      </c>
      <c r="EY232" s="37" t="str">
        <f>IF(VLOOKUP(BH232,Fundamentus!A:U,15,FALSE)&gt;1,"Bom",IF(VLOOKUP(BH232,Fundamentus!A:U,15,FALSE)&lt;1,"Ruim","n/a"))</f>
        <v>Bom</v>
      </c>
      <c r="EZ232" s="20" t="str">
        <f>IF(VLOOKUP(BH232,Fundamentus!A:U,20,FALSE)&lt;0.5,"Baixa",IF(VLOOKUP(BH232,Fundamentus!A:U,20,FALSE)&lt;1,"Moderada",IF(VLOOKUP(BH232,Fundamentus!A:U,20,FALSE)&lt;2,"Alerta",IF(VLOOKUP(BH232,Fundamentus!A:U,20,FALSE)&gt;2,"Alta","n/a"))))</f>
        <v>Moderada</v>
      </c>
    </row>
    <row r="233" spans="1:156" s="2" customFormat="1" ht="11.25" hidden="1" x14ac:dyDescent="0.2">
      <c r="A233" s="4">
        <v>2.48</v>
      </c>
      <c r="B233" s="4">
        <v>2.46</v>
      </c>
      <c r="C233" s="4">
        <v>2.75</v>
      </c>
      <c r="D233" s="4">
        <v>2.67</v>
      </c>
      <c r="E233" s="4">
        <v>2.66</v>
      </c>
      <c r="F233" s="4">
        <v>2.1800000000000002</v>
      </c>
      <c r="G233" s="4">
        <v>2.16</v>
      </c>
      <c r="H233" s="4">
        <v>2.06</v>
      </c>
      <c r="I233" s="4">
        <v>1.98</v>
      </c>
      <c r="J233" s="4">
        <v>2.0299999999999998</v>
      </c>
      <c r="K233" s="4">
        <v>2.2400000000000002</v>
      </c>
      <c r="L233" s="4">
        <v>1.89</v>
      </c>
      <c r="M233" s="4">
        <v>1.83</v>
      </c>
      <c r="N233" s="4">
        <v>1.88</v>
      </c>
      <c r="O233" s="4">
        <v>1.87</v>
      </c>
      <c r="P233" s="4">
        <v>1.71</v>
      </c>
      <c r="Q233" s="4">
        <v>1.79</v>
      </c>
      <c r="R233" s="4">
        <v>1.69</v>
      </c>
      <c r="S233" s="4">
        <v>1.47</v>
      </c>
      <c r="T233" s="4">
        <v>1.39</v>
      </c>
      <c r="U233" s="4">
        <v>1.36</v>
      </c>
      <c r="V233" s="4">
        <v>1.38</v>
      </c>
      <c r="W233" s="4">
        <v>1.3</v>
      </c>
      <c r="X233" s="4">
        <v>1.26</v>
      </c>
      <c r="Y233" s="4">
        <v>1.22</v>
      </c>
      <c r="Z233" s="4">
        <v>1.25</v>
      </c>
      <c r="AA233" s="4">
        <v>1.22</v>
      </c>
      <c r="AB233" s="4">
        <v>1.31</v>
      </c>
      <c r="AC233" s="4">
        <v>1.1599999999999999</v>
      </c>
      <c r="AD233" s="4">
        <v>1.1399999999999999</v>
      </c>
      <c r="AE233" s="4">
        <v>1.23</v>
      </c>
      <c r="AF233" s="4">
        <v>1.22</v>
      </c>
      <c r="AG233" s="4">
        <v>1.18</v>
      </c>
      <c r="AH233" s="4">
        <v>1.1000000000000001</v>
      </c>
      <c r="AI233" s="4">
        <v>1.06</v>
      </c>
      <c r="AJ233" s="4">
        <v>1.04</v>
      </c>
      <c r="AK233" s="4">
        <v>1.02</v>
      </c>
      <c r="AL233" s="4">
        <v>1.1100000000000001</v>
      </c>
      <c r="AM233" s="4">
        <v>1.22</v>
      </c>
      <c r="AN233" s="4">
        <v>1.38</v>
      </c>
      <c r="AO233" s="4">
        <v>1.23</v>
      </c>
      <c r="AP233" s="4">
        <v>1.39</v>
      </c>
      <c r="AQ233" s="4">
        <v>1.29</v>
      </c>
      <c r="AR233" s="4">
        <v>1.25</v>
      </c>
      <c r="AS233" s="4">
        <v>1.23</v>
      </c>
      <c r="AT233" s="4">
        <v>1.32</v>
      </c>
      <c r="AU233" s="4">
        <v>1.1200000000000001</v>
      </c>
      <c r="AV233" s="4">
        <v>1.04</v>
      </c>
      <c r="AW233" s="4">
        <v>1.04</v>
      </c>
      <c r="AX233" s="4">
        <v>1.1000000000000001</v>
      </c>
      <c r="AY233" s="12">
        <v>1.1399999999999999</v>
      </c>
      <c r="AZ233" s="12">
        <v>1.24</v>
      </c>
      <c r="BA233" s="12">
        <v>1.22</v>
      </c>
      <c r="BB233" s="18">
        <v>1.21</v>
      </c>
      <c r="BC233" s="63">
        <v>1.08</v>
      </c>
      <c r="BD233" s="63">
        <v>1.18</v>
      </c>
      <c r="BE233" s="63">
        <v>1.19</v>
      </c>
      <c r="BF233" s="63">
        <v>1.25</v>
      </c>
      <c r="BG233" s="91" cm="1">
        <f t="array" aca="1" ref="BG233" ca="1">_FV(EE233,"Preço")</f>
        <v>1.2</v>
      </c>
      <c r="BH233" s="93" t="s">
        <v>230</v>
      </c>
      <c r="BI233" s="32" cm="1">
        <f t="array" aca="1" ref="BI233" ca="1">_FV(EE233,"Beta")</f>
        <v>1.7826</v>
      </c>
      <c r="BJ233" s="96" cm="1">
        <f t="array" aca="1" ref="BJ233" ca="1">_FV(EE233,"Variação (%)",TRUE)</f>
        <v>-0.04</v>
      </c>
      <c r="BK233" s="49"/>
      <c r="BL233" s="49"/>
      <c r="BN233" s="32"/>
      <c r="BO233" s="20" cm="1">
        <f t="array" aca="1" ref="BO233" ca="1">_FV(EE233,"Baixo")</f>
        <v>1.18</v>
      </c>
      <c r="BP233" s="20" cm="1">
        <f t="array" aca="1" ref="BP233" ca="1">_FV(EE233,"Alto")</f>
        <v>1.25</v>
      </c>
      <c r="BQ233" s="32"/>
      <c r="BR233" s="74" t="e">
        <f ca="1">SQRT(22.5*(BG233/VLOOKUP(BH233,Fundamentus!A:U,3,FALSE))*(BG233/VLOOKUP(BH233,Fundamentus!A:U,4,FALSE)))</f>
        <v>#NUM!</v>
      </c>
      <c r="BT233" s="73">
        <f t="shared" ca="1" si="235"/>
        <v>-4.0000000000000036E-2</v>
      </c>
      <c r="BU233" s="36">
        <f t="shared" si="236"/>
        <v>-0.52016129032258063</v>
      </c>
      <c r="BV233" s="8"/>
      <c r="BW233" s="72">
        <f t="shared" si="237"/>
        <v>1.02</v>
      </c>
      <c r="BX233" s="72">
        <f t="shared" si="238"/>
        <v>1.4977586206896552</v>
      </c>
      <c r="BY233" s="72">
        <f t="shared" si="239"/>
        <v>2.75</v>
      </c>
      <c r="BZ233" s="17"/>
      <c r="CA233" s="17"/>
      <c r="CB233" s="43">
        <f t="shared" si="240"/>
        <v>1.1803618102906068</v>
      </c>
      <c r="CC233" s="18">
        <f t="shared" si="241"/>
        <v>1.3024273664479438</v>
      </c>
      <c r="CD233" s="43">
        <f t="shared" si="242"/>
        <v>1.4244929226052807</v>
      </c>
      <c r="CE233" s="98">
        <f t="shared" ca="1" si="243"/>
        <v>-0.83911768128856601</v>
      </c>
      <c r="CF233" s="17"/>
      <c r="CG233" s="20">
        <f t="shared" si="244"/>
        <v>-1.1333333333333337</v>
      </c>
      <c r="CH233" s="20">
        <f t="shared" si="245"/>
        <v>-5.6666666666666865E-2</v>
      </c>
      <c r="CI233" s="20">
        <f t="shared" si="246"/>
        <v>0.59666666666666623</v>
      </c>
      <c r="CJ233" s="49">
        <f t="shared" si="247"/>
        <v>1.6733333333333331</v>
      </c>
      <c r="CK233" s="20">
        <f t="shared" si="248"/>
        <v>2.3266666666666662</v>
      </c>
      <c r="CL233" s="20">
        <f t="shared" si="249"/>
        <v>3.4033333333333333</v>
      </c>
      <c r="CM233" s="20">
        <f t="shared" si="250"/>
        <v>4.0566666666666666</v>
      </c>
      <c r="CN233" s="2" cm="1">
        <f t="array" aca="1" ref="CN233" ca="1">MAX(_xlfn._xlws.FILTER(CG233:CM233,CG233:CM233&lt;BG233))</f>
        <v>0.59666666666666623</v>
      </c>
      <c r="CO233" s="2" cm="1">
        <f t="array" aca="1" ref="CO233" ca="1">MIN(_xlfn._xlws.FILTER($CG233:$CM233,$CG233:$CM233&gt;BG233))</f>
        <v>1.6733333333333331</v>
      </c>
      <c r="CP233" s="19">
        <f t="shared" ca="1" si="259"/>
        <v>1.8044692737430186</v>
      </c>
      <c r="CQ233" s="23">
        <f t="shared" ca="1" si="260"/>
        <v>-0.90223463687150929</v>
      </c>
      <c r="CR233" s="23">
        <f t="shared" ca="1" si="261"/>
        <v>-0.60148975791433956</v>
      </c>
      <c r="CS233" s="23">
        <f t="shared" ca="1" si="262"/>
        <v>-0.36089385474860369</v>
      </c>
      <c r="CT233" s="23">
        <f t="shared" ca="1" si="263"/>
        <v>-0.20049658597144651</v>
      </c>
      <c r="CU233" s="23">
        <f t="shared" ca="1" si="264"/>
        <v>-0.10614525139664815</v>
      </c>
      <c r="CV233" s="23">
        <f t="shared" ca="1" si="265"/>
        <v>-5.4680887083121778E-2</v>
      </c>
      <c r="CW233" s="23">
        <f t="shared" ca="1" si="266"/>
        <v>-2.7761065749892594E-2</v>
      </c>
      <c r="CX233" s="24">
        <f t="shared" ca="1" si="267"/>
        <v>2.7761065749892594E-2</v>
      </c>
      <c r="CY233" s="24">
        <f t="shared" ca="1" si="268"/>
        <v>5.4680887083121778E-2</v>
      </c>
      <c r="CZ233" s="24">
        <f t="shared" ca="1" si="269"/>
        <v>0.10614525139664815</v>
      </c>
      <c r="DA233" s="24">
        <f t="shared" ca="1" si="270"/>
        <v>0.20049658597144651</v>
      </c>
      <c r="DB233" s="24">
        <f t="shared" ca="1" si="271"/>
        <v>0.36089385474860369</v>
      </c>
      <c r="DC233" s="24">
        <f t="shared" ca="1" si="272"/>
        <v>0.60148975791433956</v>
      </c>
      <c r="DD233" s="24">
        <f t="shared" ca="1" si="273"/>
        <v>0.90223463687150929</v>
      </c>
      <c r="DF233" s="19" cm="1">
        <f t="array" aca="1" ref="DF233" ca="1">MAX(_xlfn._xlws.FILTER(CQ233:DD233,CQ233:DD233&lt;BJ233))</f>
        <v>-5.4680887083121778E-2</v>
      </c>
      <c r="DG233" s="19" cm="1">
        <f t="array" aca="1" ref="DG233" ca="1">MIN(_xlfn._xlws.FILTER(CQ233:DD233,CQ233:DD233&gt;BJ233))</f>
        <v>-2.7761065749892594E-2</v>
      </c>
      <c r="DH233" s="2" cm="1">
        <f t="array" aca="1" ref="DH233" ca="1">_FV(EE233,"Fechamento anterior",TRUE)</f>
        <v>1.25</v>
      </c>
      <c r="DI233" s="36">
        <f t="shared" ca="1" si="251"/>
        <v>0.54535603715170167</v>
      </c>
      <c r="DJ233" s="18">
        <f t="shared" ca="1" si="274"/>
        <v>1.1816488911460978</v>
      </c>
      <c r="DK233" s="18">
        <f t="shared" ca="1" si="275"/>
        <v>1.2152986678126343</v>
      </c>
      <c r="DL233" s="9"/>
      <c r="DM233" s="9"/>
      <c r="DN233" s="9"/>
      <c r="DO233" s="9"/>
      <c r="DP233" s="79">
        <v>9.2597968069666151E-2</v>
      </c>
      <c r="DQ233" s="79">
        <v>9.2597968069666151E-2</v>
      </c>
      <c r="DR233" s="79">
        <v>9.2597968069666151E-2</v>
      </c>
      <c r="DS233" s="79">
        <f t="shared" ca="1" si="252"/>
        <v>2.6919821333229184E-2</v>
      </c>
      <c r="DT233" s="47"/>
      <c r="DU233" s="43">
        <f t="shared" si="253"/>
        <v>6.1032778078668477E-2</v>
      </c>
      <c r="DV233" s="83">
        <f t="shared" ca="1" si="254"/>
        <v>2.2086999999999999</v>
      </c>
      <c r="DW233" s="83">
        <f t="shared" ca="1" si="255"/>
        <v>5.7826000000000004</v>
      </c>
      <c r="DX233" s="83">
        <f t="shared" ca="1" si="234"/>
        <v>-3.5739000000000005</v>
      </c>
      <c r="DY233" s="67"/>
      <c r="DZ233" s="67"/>
      <c r="EA233" s="85"/>
      <c r="EB233" s="44">
        <v>956700</v>
      </c>
      <c r="EC233" s="44" cm="1">
        <f t="array" aca="1" ref="EC233" ca="1">_FV(EE233,"Volume")</f>
        <v>527900</v>
      </c>
      <c r="EE233" s="2" t="e" vm="235">
        <v>#VALUE!</v>
      </c>
      <c r="EG233" s="10" cm="1">
        <f t="array" aca="1" ref="EG233" ca="1">_FV(EE233,"Ações em circulação",TRUE)</f>
        <v>205018000</v>
      </c>
      <c r="EH233" s="21">
        <f>VLOOKUP(BH233,Fundamentus!A:U,5,FALSE)</f>
        <v>1</v>
      </c>
      <c r="EI233" s="2">
        <f t="shared" ca="1" si="256"/>
        <v>246021600</v>
      </c>
      <c r="EJ233" s="20">
        <v>-20194273</v>
      </c>
      <c r="EK233" s="20">
        <f t="shared" ca="1" si="257"/>
        <v>-19386502.079999998</v>
      </c>
      <c r="EM233" s="40" t="str">
        <f>IF(VLOOKUP(BH233,Fundamentus!A:U,3,FALSE)&lt;15,"Bom",IF(VLOOKUP(BH233,Fundamentus!A:U,3,FALSE)&gt;15,"Ruim","n/a"))</f>
        <v>Bom</v>
      </c>
      <c r="EN233" s="36" t="str">
        <f>IF(VLOOKUP(BH233,Fundamentus!A:U,4,FALSE)&lt;1,"Baixo",IF(VLOOKUP(BH233,Fundamentus!A:U,4,FALSE)&lt;1.5,"Moderado",IF(VLOOKUP(BH233,Fundamentus!A:U,4,FALSE)&gt;1.5,"Alto","n/a")))</f>
        <v>Baixo</v>
      </c>
      <c r="EO233" s="20" t="str">
        <f>IF(VLOOKUP(BH233,Fundamentus!A:U,8,FALSE)&lt;0,"Risco elevado",IF(VLOOKUP(BH233,Fundamentus!A:U,8,FALSE)&lt;1,"Saudável",IF(VLOOKUP(BH233,Fundamentus!A:U,8,FALSE)&lt;3,"Estável",IF(VLOOKUP(BH233,Fundamentus!A:U,8,FALSE)&gt;3,"Alerta","n/a"))))</f>
        <v>Estável</v>
      </c>
      <c r="EP233" s="36" t="str">
        <f t="shared" si="258"/>
        <v>Ruim</v>
      </c>
      <c r="EQ233" s="20" t="str">
        <f>IF(VLOOKUP(BH233,Fundamentus!A:U,12,FALSE)&lt;2,"Subvalorizada",IF(VLOOKUP(BH233,Fundamentus!A:U,12,FALSE)&lt;6,"Muita barata",IF(VLOOKUP(BH233,Fundamentus!A:U,12,FALSE)&lt;6,"Barata",IF(VLOOKUP(BH233,Fundamentus!A:U,12,FALSE)&lt;8,"Atrativa",IF(VLOOKUP(BH233,Fundamentus!A:U,12,FALSE)&gt;8,"Supervalorizada","n/a")))))</f>
        <v>Supervalorizada</v>
      </c>
      <c r="ES233" s="20" t="str">
        <f>IF(VLOOKUP(BH233,Fundamentus!A:U,17,FALSE)&lt;0.1,"Fraco retorno",IF(VLOOKUP(BH233,Fundamentus!A:U,17,FALSE)&gt;0.1,"Bom retorno","n/a"))</f>
        <v>Fraco retorno</v>
      </c>
      <c r="ET233" s="20" t="str">
        <f>IF(VLOOKUP(BH233,Fundamentus!A:U,16,FALSE)&lt;0.1,"Ineficiente",IF(VLOOKUP(BH233,Fundamentus!A:U,16,FALSE)&gt;0.1,"Eficiente","n/a"))</f>
        <v>Ineficiente</v>
      </c>
      <c r="EU233" s="41" t="str">
        <f>IF(VLOOKUP(BH233,Fundamentus!A:U,16,FALSE)&lt;0.1,"Oper. Ineficiente",IF(VLOOKUP(BH233,Fundamentus!A:U,16,FALSE)&gt;0.1,"Oper.Eficiente","n/a"))</f>
        <v>Oper. Ineficiente</v>
      </c>
      <c r="EV233" s="42">
        <f>VLOOKUP(BH233,Fundamentus!A:U,14,FALSE)</f>
        <v>-7.8799999999999995E-2</v>
      </c>
      <c r="EW233" s="20" t="str">
        <f>IF(VLOOKUP(BH233,Fundamentus!A:U,21,FALSE)&lt;0,"Negativo",IF(VLOOKUP(BH233,Fundamentus!A:U,21,FALSE)&lt;0.05,"Fraco",IF(VLOOKUP(BH233,Fundamentus!A:U,21,FALSE)&lt;0.1,"Bom",IF(VLOOKUP(BH233,Fundamentus!A:U,21,FALSE)&gt;0.1,"Muito bom","n/a"))))</f>
        <v>Muito bom</v>
      </c>
      <c r="EY233" s="37" t="str">
        <f>IF(VLOOKUP(BH233,Fundamentus!A:U,15,FALSE)&gt;1,"Bom",IF(VLOOKUP(BH233,Fundamentus!A:U,15,FALSE)&lt;1,"Ruim","n/a"))</f>
        <v>Bom</v>
      </c>
      <c r="EZ233" s="20" t="str">
        <f>IF(VLOOKUP(BH233,Fundamentus!A:U,20,FALSE)&lt;0.5,"Baixa",IF(VLOOKUP(BH233,Fundamentus!A:U,20,FALSE)&lt;1,"Moderada",IF(VLOOKUP(BH233,Fundamentus!A:U,20,FALSE)&lt;2,"Alerta",IF(VLOOKUP(BH233,Fundamentus!A:U,20,FALSE)&gt;2,"Alta","n/a"))))</f>
        <v>Baixa</v>
      </c>
    </row>
    <row r="234" spans="1:156" s="2" customFormat="1" ht="11.25" hidden="1" x14ac:dyDescent="0.2">
      <c r="A234" s="4">
        <v>3.23</v>
      </c>
      <c r="B234" s="4">
        <v>3.07</v>
      </c>
      <c r="C234" s="4">
        <v>2.97</v>
      </c>
      <c r="D234" s="4">
        <v>2.84</v>
      </c>
      <c r="E234" s="4">
        <v>2.85</v>
      </c>
      <c r="F234" s="4">
        <v>2.7</v>
      </c>
      <c r="G234" s="4">
        <v>2.8</v>
      </c>
      <c r="H234" s="4">
        <v>2.89</v>
      </c>
      <c r="I234" s="4">
        <v>2.94</v>
      </c>
      <c r="J234" s="4">
        <v>3.08</v>
      </c>
      <c r="K234" s="4">
        <v>3.08</v>
      </c>
      <c r="L234" s="4">
        <v>3.06</v>
      </c>
      <c r="M234" s="4">
        <v>3.06</v>
      </c>
      <c r="N234" s="4">
        <v>2.95</v>
      </c>
      <c r="O234" s="4">
        <v>3.29</v>
      </c>
      <c r="P234" s="4">
        <v>3.3</v>
      </c>
      <c r="Q234" s="4">
        <v>3.27</v>
      </c>
      <c r="R234" s="4">
        <v>3.21</v>
      </c>
      <c r="S234" s="4">
        <v>3.04</v>
      </c>
      <c r="T234" s="4">
        <v>3.09</v>
      </c>
      <c r="U234" s="4">
        <v>3.14</v>
      </c>
      <c r="V234" s="4">
        <v>3.16</v>
      </c>
      <c r="W234" s="4">
        <v>3.05</v>
      </c>
      <c r="X234" s="4">
        <v>2.95</v>
      </c>
      <c r="Y234" s="4">
        <v>2.86</v>
      </c>
      <c r="Z234" s="4">
        <v>2.83</v>
      </c>
      <c r="AA234" s="4">
        <v>2.85</v>
      </c>
      <c r="AB234" s="4">
        <v>2.71</v>
      </c>
      <c r="AC234" s="4">
        <v>2.42</v>
      </c>
      <c r="AD234" s="4">
        <v>2.6</v>
      </c>
      <c r="AE234" s="4">
        <v>2.64</v>
      </c>
      <c r="AF234" s="4">
        <v>2.46</v>
      </c>
      <c r="AG234" s="4">
        <v>2.4500000000000002</v>
      </c>
      <c r="AH234" s="4">
        <v>2.1800000000000002</v>
      </c>
      <c r="AI234" s="4">
        <v>2.12</v>
      </c>
      <c r="AJ234" s="4">
        <v>2.13</v>
      </c>
      <c r="AK234" s="4">
        <v>2.02</v>
      </c>
      <c r="AL234" s="4">
        <v>2.04</v>
      </c>
      <c r="AM234" s="4">
        <v>1.89</v>
      </c>
      <c r="AN234" s="4">
        <v>1.9</v>
      </c>
      <c r="AO234" s="4">
        <v>1.76</v>
      </c>
      <c r="AP234" s="4">
        <v>1.77</v>
      </c>
      <c r="AQ234" s="4">
        <v>1.73</v>
      </c>
      <c r="AR234" s="4">
        <v>1.65</v>
      </c>
      <c r="AS234" s="4">
        <v>1.74</v>
      </c>
      <c r="AT234" s="4">
        <v>1.78</v>
      </c>
      <c r="AU234" s="4">
        <v>1.845</v>
      </c>
      <c r="AV234" s="4">
        <v>1.86</v>
      </c>
      <c r="AW234" s="4">
        <v>1.74</v>
      </c>
      <c r="AX234" s="4">
        <v>1.76</v>
      </c>
      <c r="AY234" s="12">
        <v>1.76</v>
      </c>
      <c r="AZ234" s="12">
        <v>1.8</v>
      </c>
      <c r="BA234" s="12">
        <v>1.81</v>
      </c>
      <c r="BB234" s="18">
        <v>1.82</v>
      </c>
      <c r="BC234" s="63">
        <v>1.7</v>
      </c>
      <c r="BD234" s="63">
        <v>2.14</v>
      </c>
      <c r="BE234" s="63">
        <v>1.94</v>
      </c>
      <c r="BF234" s="63">
        <v>1.98</v>
      </c>
      <c r="BG234" s="91" cm="1">
        <f t="array" aca="1" ref="BG234" ca="1">_FV(EE234,"Preço")</f>
        <v>1.83</v>
      </c>
      <c r="BH234" s="93" t="s">
        <v>231</v>
      </c>
      <c r="BI234" s="32" cm="1">
        <f t="array" aca="1" ref="BI234" ca="1">_FV(EE234,"Beta")</f>
        <v>1.1661999999999999</v>
      </c>
      <c r="BJ234" s="96" cm="1">
        <f t="array" aca="1" ref="BJ234" ca="1">_FV(EE234,"Variação (%)",TRUE)</f>
        <v>-3.1745999999999996E-2</v>
      </c>
      <c r="BK234" s="49"/>
      <c r="BL234" s="49"/>
      <c r="BN234" s="32"/>
      <c r="BO234" s="20" cm="1">
        <f t="array" aca="1" ref="BO234" ca="1">_FV(EE234,"Baixo")</f>
        <v>1.83</v>
      </c>
      <c r="BP234" s="20" cm="1">
        <f t="array" aca="1" ref="BP234" ca="1">_FV(EE234,"Alto")</f>
        <v>1.89</v>
      </c>
      <c r="BQ234" s="32"/>
      <c r="BR234" s="74" t="e">
        <f ca="1">SQRT(22.5*(BG234/VLOOKUP(BH234,Fundamentus!A:U,3,FALSE))*(BG234/VLOOKUP(BH234,Fundamentus!A:U,4,FALSE)))</f>
        <v>#NUM!</v>
      </c>
      <c r="BT234" s="73">
        <f t="shared" ca="1" si="235"/>
        <v>-7.5757575757575718E-2</v>
      </c>
      <c r="BU234" s="36">
        <f t="shared" si="236"/>
        <v>-0.39938080495356038</v>
      </c>
      <c r="BV234" s="8"/>
      <c r="BW234" s="72">
        <f t="shared" si="237"/>
        <v>1.65</v>
      </c>
      <c r="BX234" s="72">
        <f t="shared" si="238"/>
        <v>2.4776724137931025</v>
      </c>
      <c r="BY234" s="72">
        <f t="shared" si="239"/>
        <v>3.3</v>
      </c>
      <c r="BZ234" s="17"/>
      <c r="CA234" s="17"/>
      <c r="CB234" s="43">
        <f t="shared" si="240"/>
        <v>1.7900631152176349</v>
      </c>
      <c r="CC234" s="18">
        <f t="shared" si="241"/>
        <v>2.1050234301781074</v>
      </c>
      <c r="CD234" s="43">
        <f t="shared" si="242"/>
        <v>2.4199837451385799</v>
      </c>
      <c r="CE234" s="98">
        <f t="shared" ca="1" si="243"/>
        <v>-0.87320026401619133</v>
      </c>
      <c r="CF234" s="17"/>
      <c r="CG234" s="20">
        <f t="shared" si="244"/>
        <v>-0.32999999999999963</v>
      </c>
      <c r="CH234" s="20">
        <f t="shared" si="245"/>
        <v>0.66000000000000014</v>
      </c>
      <c r="CI234" s="20">
        <f t="shared" si="246"/>
        <v>1.3200000000000003</v>
      </c>
      <c r="CJ234" s="49">
        <f t="shared" si="247"/>
        <v>2.31</v>
      </c>
      <c r="CK234" s="20">
        <f t="shared" si="248"/>
        <v>2.97</v>
      </c>
      <c r="CL234" s="20">
        <f t="shared" si="249"/>
        <v>3.96</v>
      </c>
      <c r="CM234" s="20">
        <f t="shared" si="250"/>
        <v>4.62</v>
      </c>
      <c r="CN234" s="2" cm="1">
        <f t="array" aca="1" ref="CN234" ca="1">MAX(_xlfn._xlws.FILTER(CG234:CM234,CG234:CM234&lt;BG234))</f>
        <v>1.3200000000000003</v>
      </c>
      <c r="CO234" s="2" cm="1">
        <f t="array" aca="1" ref="CO234" ca="1">MIN(_xlfn._xlws.FILTER($CG234:$CM234,$CG234:$CM234&gt;BG234))</f>
        <v>2.31</v>
      </c>
      <c r="CP234" s="19">
        <f t="shared" ca="1" si="259"/>
        <v>0.74999999999999956</v>
      </c>
      <c r="CQ234" s="23">
        <f t="shared" ca="1" si="260"/>
        <v>-0.37499999999999978</v>
      </c>
      <c r="CR234" s="23">
        <f t="shared" ca="1" si="261"/>
        <v>-0.24999999999999986</v>
      </c>
      <c r="CS234" s="23">
        <f t="shared" ca="1" si="262"/>
        <v>-0.14999999999999991</v>
      </c>
      <c r="CT234" s="23">
        <f t="shared" ca="1" si="263"/>
        <v>-8.3333333333333287E-2</v>
      </c>
      <c r="CU234" s="23">
        <f t="shared" ca="1" si="264"/>
        <v>-4.4117647058823505E-2</v>
      </c>
      <c r="CV234" s="23">
        <f t="shared" ca="1" si="265"/>
        <v>-2.2727272727272714E-2</v>
      </c>
      <c r="CW234" s="23">
        <f t="shared" ca="1" si="266"/>
        <v>-1.1538461538461532E-2</v>
      </c>
      <c r="CX234" s="24">
        <f t="shared" ca="1" si="267"/>
        <v>1.1538461538461532E-2</v>
      </c>
      <c r="CY234" s="24">
        <f t="shared" ca="1" si="268"/>
        <v>2.2727272727272714E-2</v>
      </c>
      <c r="CZ234" s="24">
        <f t="shared" ca="1" si="269"/>
        <v>4.4117647058823505E-2</v>
      </c>
      <c r="DA234" s="24">
        <f t="shared" ca="1" si="270"/>
        <v>8.3333333333333287E-2</v>
      </c>
      <c r="DB234" s="24">
        <f t="shared" ca="1" si="271"/>
        <v>0.14999999999999991</v>
      </c>
      <c r="DC234" s="24">
        <f t="shared" ca="1" si="272"/>
        <v>0.24999999999999986</v>
      </c>
      <c r="DD234" s="24">
        <f t="shared" ca="1" si="273"/>
        <v>0.37499999999999978</v>
      </c>
      <c r="DF234" s="19" cm="1">
        <f t="array" aca="1" ref="DF234" ca="1">MAX(_xlfn._xlws.FILTER(CQ234:DD234,CQ234:DD234&lt;BJ234))</f>
        <v>-4.4117647058823505E-2</v>
      </c>
      <c r="DG234" s="19" cm="1">
        <f t="array" aca="1" ref="DG234" ca="1">MIN(_xlfn._xlws.FILTER(CQ234:DD234,CQ234:DD234&gt;BJ234))</f>
        <v>-2.2727272727272714E-2</v>
      </c>
      <c r="DH234" s="2" cm="1">
        <f t="array" aca="1" ref="DH234" ca="1">_FV(EE234,"Fechamento anterior",TRUE)</f>
        <v>1.89</v>
      </c>
      <c r="DI234" s="36">
        <f t="shared" ca="1" si="251"/>
        <v>0.57837301587301904</v>
      </c>
      <c r="DJ234" s="18">
        <f t="shared" ca="1" si="274"/>
        <v>1.8066176470588236</v>
      </c>
      <c r="DK234" s="18">
        <f t="shared" ca="1" si="275"/>
        <v>1.8470454545454544</v>
      </c>
      <c r="DL234" s="9"/>
      <c r="DM234" s="9"/>
      <c r="DN234" s="9"/>
      <c r="DO234" s="9"/>
      <c r="DP234" s="79">
        <v>3.0769230769230771E-2</v>
      </c>
      <c r="DQ234" s="79">
        <v>1.4918414918414918E-2</v>
      </c>
      <c r="DR234" s="79">
        <v>3.0769230769230771E-2</v>
      </c>
      <c r="DS234" s="79">
        <f t="shared" ca="1" si="252"/>
        <v>2.139037433155079E-2</v>
      </c>
      <c r="DT234" s="47"/>
      <c r="DU234" s="43">
        <f t="shared" si="253"/>
        <v>0.15748015748023628</v>
      </c>
      <c r="DV234" s="83">
        <f t="shared" ca="1" si="254"/>
        <v>1.5922999999999998</v>
      </c>
      <c r="DW234" s="83">
        <f t="shared" ca="1" si="255"/>
        <v>4.3407999999999998</v>
      </c>
      <c r="DX234" s="83">
        <f t="shared" ca="1" si="234"/>
        <v>-2.7484999999999999</v>
      </c>
      <c r="DY234" s="67"/>
      <c r="DZ234" s="67"/>
      <c r="EA234" s="85"/>
      <c r="EB234" s="44">
        <v>7460300</v>
      </c>
      <c r="EC234" s="44" cm="1">
        <f t="array" aca="1" ref="EC234" ca="1">_FV(EE234,"Volume")</f>
        <v>10244500</v>
      </c>
      <c r="EE234" s="2" t="e" vm="236">
        <v>#VALUE!</v>
      </c>
      <c r="EG234" s="10" cm="1">
        <f t="array" aca="1" ref="EG234" ca="1">_FV(EE234,"Ações em circulação",TRUE)</f>
        <v>1358937000</v>
      </c>
      <c r="EH234" s="21">
        <f>VLOOKUP(BH234,Fundamentus!A:U,5,FALSE)</f>
        <v>0.08</v>
      </c>
      <c r="EI234" s="2">
        <f t="shared" ca="1" si="256"/>
        <v>31085683875</v>
      </c>
      <c r="EJ234" s="20">
        <v>-551592528.30000007</v>
      </c>
      <c r="EK234" s="20">
        <f t="shared" ca="1" si="257"/>
        <v>-509805215.55000007</v>
      </c>
      <c r="EM234" s="40" t="str">
        <f>IF(VLOOKUP(BH234,Fundamentus!A:U,3,FALSE)&lt;15,"Bom",IF(VLOOKUP(BH234,Fundamentus!A:U,3,FALSE)&gt;15,"Ruim","n/a"))</f>
        <v>Bom</v>
      </c>
      <c r="EN234" s="36" t="str">
        <f>IF(VLOOKUP(BH234,Fundamentus!A:U,4,FALSE)&lt;1,"Baixo",IF(VLOOKUP(BH234,Fundamentus!A:U,4,FALSE)&lt;1.5,"Moderado",IF(VLOOKUP(BH234,Fundamentus!A:U,4,FALSE)&gt;1.5,"Alto","n/a")))</f>
        <v>Moderado</v>
      </c>
      <c r="EO234" s="20" t="str">
        <f>IF(VLOOKUP(BH234,Fundamentus!A:U,8,FALSE)&lt;0,"Risco elevado",IF(VLOOKUP(BH234,Fundamentus!A:U,8,FALSE)&lt;1,"Saudável",IF(VLOOKUP(BH234,Fundamentus!A:U,8,FALSE)&lt;3,"Estável",IF(VLOOKUP(BH234,Fundamentus!A:U,8,FALSE)&gt;3,"Alerta","n/a"))))</f>
        <v>Estável</v>
      </c>
      <c r="EP234" s="36" t="str">
        <f t="shared" si="258"/>
        <v>Ruim</v>
      </c>
      <c r="EQ234" s="20" t="str">
        <f>IF(VLOOKUP(BH234,Fundamentus!A:U,12,FALSE)&lt;2,"Subvalorizada",IF(VLOOKUP(BH234,Fundamentus!A:U,12,FALSE)&lt;6,"Muita barata",IF(VLOOKUP(BH234,Fundamentus!A:U,12,FALSE)&lt;6,"Barata",IF(VLOOKUP(BH234,Fundamentus!A:U,12,FALSE)&lt;8,"Atrativa",IF(VLOOKUP(BH234,Fundamentus!A:U,12,FALSE)&gt;8,"Supervalorizada","n/a")))))</f>
        <v>Muita barata</v>
      </c>
      <c r="ES234" s="20" t="str">
        <f>IF(VLOOKUP(BH234,Fundamentus!A:U,17,FALSE)&lt;0.1,"Fraco retorno",IF(VLOOKUP(BH234,Fundamentus!A:U,17,FALSE)&gt;0.1,"Bom retorno","n/a"))</f>
        <v>Fraco retorno</v>
      </c>
      <c r="ET234" s="20" t="str">
        <f>IF(VLOOKUP(BH234,Fundamentus!A:U,16,FALSE)&lt;0.1,"Ineficiente",IF(VLOOKUP(BH234,Fundamentus!A:U,16,FALSE)&gt;0.1,"Eficiente","n/a"))</f>
        <v>Ineficiente</v>
      </c>
      <c r="EU234" s="41" t="str">
        <f>IF(VLOOKUP(BH234,Fundamentus!A:U,16,FALSE)&lt;0.1,"Oper. Ineficiente",IF(VLOOKUP(BH234,Fundamentus!A:U,16,FALSE)&gt;0.1,"Oper.Eficiente","n/a"))</f>
        <v>Oper. Ineficiente</v>
      </c>
      <c r="EV234" s="42">
        <f>VLOOKUP(BH234,Fundamentus!A:U,14,FALSE)</f>
        <v>-1.6400000000000001E-2</v>
      </c>
      <c r="EW234" s="20" t="str">
        <f>IF(VLOOKUP(BH234,Fundamentus!A:U,21,FALSE)&lt;0,"Negativo",IF(VLOOKUP(BH234,Fundamentus!A:U,21,FALSE)&lt;0.05,"Fraco",IF(VLOOKUP(BH234,Fundamentus!A:U,21,FALSE)&lt;0.1,"Bom",IF(VLOOKUP(BH234,Fundamentus!A:U,21,FALSE)&gt;0.1,"Muito bom","n/a"))))</f>
        <v>Muito bom</v>
      </c>
      <c r="EY234" s="37" t="str">
        <f>IF(VLOOKUP(BH234,Fundamentus!A:U,15,FALSE)&gt;1,"Bom",IF(VLOOKUP(BH234,Fundamentus!A:U,15,FALSE)&lt;1,"Ruim","n/a"))</f>
        <v>Bom</v>
      </c>
      <c r="EZ234" s="20" t="str">
        <f>IF(VLOOKUP(BH234,Fundamentus!A:U,20,FALSE)&lt;0.5,"Baixa",IF(VLOOKUP(BH234,Fundamentus!A:U,20,FALSE)&lt;1,"Moderada",IF(VLOOKUP(BH234,Fundamentus!A:U,20,FALSE)&lt;2,"Alerta",IF(VLOOKUP(BH234,Fundamentus!A:U,20,FALSE)&gt;2,"Alta","n/a"))))</f>
        <v>Alta</v>
      </c>
    </row>
    <row r="235" spans="1:156" s="2" customFormat="1" ht="11.25" hidden="1" x14ac:dyDescent="0.2">
      <c r="A235" s="4">
        <v>28.22</v>
      </c>
      <c r="B235" s="4">
        <v>27.14</v>
      </c>
      <c r="C235" s="4">
        <v>27.69</v>
      </c>
      <c r="D235" s="4">
        <v>27</v>
      </c>
      <c r="E235" s="4">
        <v>27.18</v>
      </c>
      <c r="F235" s="4">
        <v>27.18</v>
      </c>
      <c r="G235" s="4">
        <v>26.45</v>
      </c>
      <c r="H235" s="4">
        <v>26.61</v>
      </c>
      <c r="I235" s="4">
        <v>26.59</v>
      </c>
      <c r="J235" s="4">
        <v>26.73</v>
      </c>
      <c r="K235" s="4">
        <v>26.83</v>
      </c>
      <c r="L235" s="4">
        <v>27.11</v>
      </c>
      <c r="M235" s="4">
        <v>27.12</v>
      </c>
      <c r="N235" s="4">
        <v>26.16</v>
      </c>
      <c r="O235" s="4">
        <v>26.55</v>
      </c>
      <c r="P235" s="4">
        <v>28.27</v>
      </c>
      <c r="Q235" s="4">
        <v>28.22</v>
      </c>
      <c r="R235" s="4">
        <v>28.12</v>
      </c>
      <c r="S235" s="4">
        <v>28.77</v>
      </c>
      <c r="T235" s="4">
        <v>28.42</v>
      </c>
      <c r="U235" s="4">
        <v>27.5</v>
      </c>
      <c r="V235" s="4">
        <v>27.25</v>
      </c>
      <c r="W235" s="4">
        <v>26.86</v>
      </c>
      <c r="X235" s="4">
        <v>26.33</v>
      </c>
      <c r="Y235" s="4">
        <v>26.62</v>
      </c>
      <c r="Z235" s="4">
        <v>26.37</v>
      </c>
      <c r="AA235" s="4">
        <v>26.09</v>
      </c>
      <c r="AB235" s="4">
        <v>26.03</v>
      </c>
      <c r="AC235" s="4">
        <v>25.37</v>
      </c>
      <c r="AD235" s="4">
        <v>25.6</v>
      </c>
      <c r="AE235" s="4">
        <v>24.71</v>
      </c>
      <c r="AF235" s="4">
        <v>24.73</v>
      </c>
      <c r="AG235" s="4">
        <v>24.51</v>
      </c>
      <c r="AH235" s="4">
        <v>23.92</v>
      </c>
      <c r="AI235" s="4">
        <v>24.11</v>
      </c>
      <c r="AJ235" s="4">
        <v>23.74</v>
      </c>
      <c r="AK235" s="4">
        <v>24.21</v>
      </c>
      <c r="AL235" s="4">
        <v>25.35</v>
      </c>
      <c r="AM235" s="4">
        <v>26.62</v>
      </c>
      <c r="AN235" s="4">
        <v>27.68</v>
      </c>
      <c r="AO235" s="4">
        <v>27.78</v>
      </c>
      <c r="AP235" s="4">
        <v>28.75</v>
      </c>
      <c r="AQ235" s="4">
        <v>27.98</v>
      </c>
      <c r="AR235" s="4">
        <v>27.31</v>
      </c>
      <c r="AS235" s="4">
        <v>28.06</v>
      </c>
      <c r="AT235" s="4">
        <v>27.88</v>
      </c>
      <c r="AU235" s="4">
        <v>28.274999999999999</v>
      </c>
      <c r="AV235" s="4">
        <v>28.64</v>
      </c>
      <c r="AW235" s="4">
        <v>27.98</v>
      </c>
      <c r="AX235" s="4">
        <v>27.8</v>
      </c>
      <c r="AY235" s="12">
        <v>27.43</v>
      </c>
      <c r="AZ235" s="12">
        <v>28.01</v>
      </c>
      <c r="BA235" s="12">
        <v>28.93</v>
      </c>
      <c r="BB235" s="18">
        <v>29.41</v>
      </c>
      <c r="BC235" s="63">
        <v>29.4</v>
      </c>
      <c r="BD235" s="63">
        <v>24.42</v>
      </c>
      <c r="BE235" s="63">
        <v>23.42</v>
      </c>
      <c r="BF235" s="63">
        <v>21.71</v>
      </c>
      <c r="BG235" s="91" cm="1">
        <f t="array" aca="1" ref="BG235" ca="1">_FV(EE235,"Preço")</f>
        <v>21.59</v>
      </c>
      <c r="BH235" s="93" t="s">
        <v>232</v>
      </c>
      <c r="BI235" s="32" cm="1">
        <f t="array" aca="1" ref="BI235" ca="1">_FV(EE235,"Beta")</f>
        <v>0.95440000000000003</v>
      </c>
      <c r="BJ235" s="96" cm="1">
        <f t="array" aca="1" ref="BJ235" ca="1">_FV(EE235,"Variação (%)",TRUE)</f>
        <v>7.9369999999999996E-3</v>
      </c>
      <c r="BK235" s="49"/>
      <c r="BL235" s="49"/>
      <c r="BN235" s="32"/>
      <c r="BO235" s="20" cm="1">
        <f t="array" aca="1" ref="BO235" ca="1">_FV(EE235,"Baixo")</f>
        <v>21.24</v>
      </c>
      <c r="BP235" s="20" cm="1">
        <f t="array" aca="1" ref="BP235" ca="1">_FV(EE235,"Alto")</f>
        <v>21.65</v>
      </c>
      <c r="BQ235" s="32"/>
      <c r="BR235" s="74">
        <f ca="1">SQRT(22.5*(BG235/VLOOKUP(BH235,Fundamentus!A:U,3,FALSE))*(BG235/VLOOKUP(BH235,Fundamentus!A:U,4,FALSE)))</f>
        <v>61.246755093459157</v>
      </c>
      <c r="BT235" s="73">
        <f t="shared" ca="1" si="235"/>
        <v>-5.5274067250115607E-3</v>
      </c>
      <c r="BU235" s="36">
        <f t="shared" si="236"/>
        <v>-0.17009213323883762</v>
      </c>
      <c r="BV235" s="8"/>
      <c r="BW235" s="72">
        <f t="shared" si="237"/>
        <v>21.71</v>
      </c>
      <c r="BX235" s="72">
        <f t="shared" si="238"/>
        <v>26.778362068965528</v>
      </c>
      <c r="BY235" s="72">
        <f t="shared" si="239"/>
        <v>29.41</v>
      </c>
      <c r="BZ235" s="17"/>
      <c r="CA235" s="17"/>
      <c r="CB235" s="43">
        <f t="shared" si="240"/>
        <v>13.099444085406381</v>
      </c>
      <c r="CC235" s="18">
        <f t="shared" si="241"/>
        <v>18.821443298968006</v>
      </c>
      <c r="CD235" s="43">
        <f t="shared" si="242"/>
        <v>24.54344251252963</v>
      </c>
      <c r="CE235" s="98">
        <f t="shared" ca="1" si="243"/>
        <v>0.48384429946622126</v>
      </c>
      <c r="CF235" s="17"/>
      <c r="CG235" s="20">
        <f t="shared" si="244"/>
        <v>11.443333333333342</v>
      </c>
      <c r="CH235" s="20">
        <f t="shared" si="245"/>
        <v>16.576666666666672</v>
      </c>
      <c r="CI235" s="20">
        <f t="shared" si="246"/>
        <v>19.143333333333342</v>
      </c>
      <c r="CJ235" s="49">
        <f t="shared" si="247"/>
        <v>24.276666666666671</v>
      </c>
      <c r="CK235" s="20">
        <f t="shared" si="248"/>
        <v>26.843333333333341</v>
      </c>
      <c r="CL235" s="20">
        <f t="shared" si="249"/>
        <v>31.97666666666667</v>
      </c>
      <c r="CM235" s="20">
        <f t="shared" si="250"/>
        <v>34.543333333333337</v>
      </c>
      <c r="CN235" s="2" cm="1">
        <f t="array" aca="1" ref="CN235" ca="1">MAX(_xlfn._xlws.FILTER(CG235:CM235,CG235:CM235&lt;BG235))</f>
        <v>19.143333333333342</v>
      </c>
      <c r="CO235" s="2" cm="1">
        <f t="array" aca="1" ref="CO235" ca="1">MIN(_xlfn._xlws.FILTER($CG235:$CM235,$CG235:$CM235&gt;BG235))</f>
        <v>24.276666666666671</v>
      </c>
      <c r="CP235" s="19">
        <f t="shared" ca="1" si="259"/>
        <v>0.26815253351906643</v>
      </c>
      <c r="CQ235" s="23">
        <f t="shared" ca="1" si="260"/>
        <v>-0.13407626675953321</v>
      </c>
      <c r="CR235" s="23">
        <f t="shared" ca="1" si="261"/>
        <v>-8.9384177839688814E-2</v>
      </c>
      <c r="CS235" s="23">
        <f t="shared" ca="1" si="262"/>
        <v>-5.3630506703813287E-2</v>
      </c>
      <c r="CT235" s="23">
        <f t="shared" ca="1" si="263"/>
        <v>-2.9794725946562937E-2</v>
      </c>
      <c r="CU235" s="23">
        <f t="shared" ca="1" si="264"/>
        <v>-1.5773678442298024E-2</v>
      </c>
      <c r="CV235" s="23">
        <f t="shared" ca="1" si="265"/>
        <v>-8.1258343490626193E-3</v>
      </c>
      <c r="CW235" s="23">
        <f t="shared" ca="1" si="266"/>
        <v>-4.1254235926010217E-3</v>
      </c>
      <c r="CX235" s="24">
        <f t="shared" ca="1" si="267"/>
        <v>4.1254235926010217E-3</v>
      </c>
      <c r="CY235" s="24">
        <f t="shared" ca="1" si="268"/>
        <v>8.1258343490626193E-3</v>
      </c>
      <c r="CZ235" s="24">
        <f t="shared" ca="1" si="269"/>
        <v>1.5773678442298024E-2</v>
      </c>
      <c r="DA235" s="24">
        <f t="shared" ca="1" si="270"/>
        <v>2.9794725946562937E-2</v>
      </c>
      <c r="DB235" s="24">
        <f t="shared" ca="1" si="271"/>
        <v>5.3630506703813287E-2</v>
      </c>
      <c r="DC235" s="24">
        <f t="shared" ca="1" si="272"/>
        <v>8.9384177839688814E-2</v>
      </c>
      <c r="DD235" s="24">
        <f t="shared" ca="1" si="273"/>
        <v>0.13407626675953321</v>
      </c>
      <c r="DF235" s="19" cm="1">
        <f t="array" aca="1" ref="DF235" ca="1">MAX(_xlfn._xlws.FILTER(CQ235:DD235,CQ235:DD235&lt;BJ235))</f>
        <v>4.1254235926010217E-3</v>
      </c>
      <c r="DG235" s="19" cm="1">
        <f t="array" aca="1" ref="DG235" ca="1">MIN(_xlfn._xlws.FILTER(CQ235:DD235,CQ235:DD235&gt;BJ235))</f>
        <v>8.1258343490626193E-3</v>
      </c>
      <c r="DH235" s="2" cm="1">
        <f t="array" aca="1" ref="DH235" ca="1">_FV(EE235,"Fechamento anterior",TRUE)</f>
        <v>21.42</v>
      </c>
      <c r="DI235" s="36">
        <f t="shared" ca="1" si="251"/>
        <v>0.95267325680270087</v>
      </c>
      <c r="DJ235" s="18">
        <f t="shared" ca="1" si="274"/>
        <v>21.508366573353516</v>
      </c>
      <c r="DK235" s="18">
        <f t="shared" ca="1" si="275"/>
        <v>21.594055371756923</v>
      </c>
      <c r="DL235" s="9"/>
      <c r="DM235" s="9"/>
      <c r="DN235" s="9"/>
      <c r="DO235" s="9"/>
      <c r="DP235" s="79">
        <v>6.522292666195975E-3</v>
      </c>
      <c r="DQ235" s="79">
        <v>8.9439284485724121E-3</v>
      </c>
      <c r="DR235" s="79">
        <v>1.3211353768629313E-2</v>
      </c>
      <c r="DS235" s="79">
        <f t="shared" ca="1" si="252"/>
        <v>4.0004107564615976E-3</v>
      </c>
      <c r="DT235" s="47"/>
      <c r="DU235" s="43">
        <f t="shared" si="253"/>
        <v>2.8609996067808128</v>
      </c>
      <c r="DV235" s="83">
        <f t="shared" ca="1" si="254"/>
        <v>1.3805000000000001</v>
      </c>
      <c r="DW235" s="83">
        <f t="shared" ca="1" si="255"/>
        <v>0.16070000000000007</v>
      </c>
      <c r="DX235" s="83">
        <f t="shared" ca="1" si="234"/>
        <v>1.2198</v>
      </c>
      <c r="DY235" s="67"/>
      <c r="DZ235" s="67"/>
      <c r="EA235" s="85"/>
      <c r="EB235" s="44">
        <v>56465300</v>
      </c>
      <c r="EC235" s="44" cm="1">
        <f t="array" aca="1" ref="EC235" ca="1">_FV(EE235,"Volume")</f>
        <v>32987200</v>
      </c>
      <c r="EE235" s="2" t="e" vm="237">
        <v>#VALUE!</v>
      </c>
      <c r="EG235" s="10" cm="1">
        <f t="array" aca="1" ref="EG235" ca="1">_FV(EE235,"Ações em circulação",TRUE)</f>
        <v>5730834000</v>
      </c>
      <c r="EH235" s="21">
        <f>VLOOKUP(BH235,Fundamentus!A:U,5,FALSE)</f>
        <v>0</v>
      </c>
      <c r="EI235" s="2" t="e">
        <f t="shared" ca="1" si="256"/>
        <v>#DIV/0!</v>
      </c>
      <c r="EJ235" s="20" t="e">
        <v>#DIV/0!</v>
      </c>
      <c r="EK235" s="20" t="e">
        <f t="shared" ca="1" si="257"/>
        <v>#DIV/0!</v>
      </c>
      <c r="EM235" s="40" t="str">
        <f>IF(VLOOKUP(BH235,Fundamentus!A:U,3,FALSE)&lt;15,"Bom",IF(VLOOKUP(BH235,Fundamentus!A:U,3,FALSE)&gt;15,"Ruim","n/a"))</f>
        <v>Bom</v>
      </c>
      <c r="EN235" s="36" t="str">
        <f>IF(VLOOKUP(BH235,Fundamentus!A:U,4,FALSE)&lt;1,"Baixo",IF(VLOOKUP(BH235,Fundamentus!A:U,4,FALSE)&lt;1.5,"Moderado",IF(VLOOKUP(BH235,Fundamentus!A:U,4,FALSE)&gt;1.5,"Alto","n/a")))</f>
        <v>Baixo</v>
      </c>
      <c r="EO235" s="20" t="str">
        <f>IF(VLOOKUP(BH235,Fundamentus!A:U,8,FALSE)&lt;0,"Risco elevado",IF(VLOOKUP(BH235,Fundamentus!A:U,8,FALSE)&lt;1,"Saudável",IF(VLOOKUP(BH235,Fundamentus!A:U,8,FALSE)&lt;3,"Estável",IF(VLOOKUP(BH235,Fundamentus!A:U,8,FALSE)&gt;3,"Alerta","n/a"))))</f>
        <v>Saudável</v>
      </c>
      <c r="EP235" s="36" t="str">
        <f t="shared" si="258"/>
        <v>Ruim</v>
      </c>
      <c r="EQ235" s="20" t="str">
        <f>IF(VLOOKUP(BH235,Fundamentus!A:U,12,FALSE)&lt;2,"Subvalorizada",IF(VLOOKUP(BH235,Fundamentus!A:U,12,FALSE)&lt;6,"Muita barata",IF(VLOOKUP(BH235,Fundamentus!A:U,12,FALSE)&lt;6,"Barata",IF(VLOOKUP(BH235,Fundamentus!A:U,12,FALSE)&lt;8,"Atrativa",IF(VLOOKUP(BH235,Fundamentus!A:U,12,FALSE)&gt;8,"Supervalorizada","n/a")))))</f>
        <v>Subvalorizada</v>
      </c>
      <c r="ES235" s="20" t="str">
        <f>IF(VLOOKUP(BH235,Fundamentus!A:U,17,FALSE)&lt;0.1,"Fraco retorno",IF(VLOOKUP(BH235,Fundamentus!A:U,17,FALSE)&gt;0.1,"Bom retorno","n/a"))</f>
        <v>Bom retorno</v>
      </c>
      <c r="ET235" s="20" t="str">
        <f>IF(VLOOKUP(BH235,Fundamentus!A:U,16,FALSE)&lt;0.1,"Ineficiente",IF(VLOOKUP(BH235,Fundamentus!A:U,16,FALSE)&gt;0.1,"Eficiente","n/a"))</f>
        <v>Ineficiente</v>
      </c>
      <c r="EU235" s="41" t="str">
        <f>IF(VLOOKUP(BH235,Fundamentus!A:U,16,FALSE)&lt;0.1,"Oper. Ineficiente",IF(VLOOKUP(BH235,Fundamentus!A:U,16,FALSE)&gt;0.1,"Oper.Eficiente","n/a"))</f>
        <v>Oper. Ineficiente</v>
      </c>
      <c r="EV235" s="42">
        <f>VLOOKUP(BH235,Fundamentus!A:U,14,FALSE)</f>
        <v>0</v>
      </c>
      <c r="EW235" s="20" t="str">
        <f>IF(VLOOKUP(BH235,Fundamentus!A:U,21,FALSE)&lt;0,"Negativo",IF(VLOOKUP(BH235,Fundamentus!A:U,21,FALSE)&lt;0.05,"Fraco",IF(VLOOKUP(BH235,Fundamentus!A:U,21,FALSE)&lt;0.1,"Bom",IF(VLOOKUP(BH235,Fundamentus!A:U,21,FALSE)&gt;0.1,"Muito bom","n/a"))))</f>
        <v>Muito bom</v>
      </c>
      <c r="EY235" s="37" t="str">
        <f>IF(VLOOKUP(BH235,Fundamentus!A:U,15,FALSE)&gt;1,"Bom",IF(VLOOKUP(BH235,Fundamentus!A:U,15,FALSE)&lt;1,"Ruim","n/a"))</f>
        <v>Ruim</v>
      </c>
      <c r="EZ235" s="20" t="str">
        <f>IF(VLOOKUP(BH235,Fundamentus!A:U,20,FALSE)&lt;0.5,"Baixa",IF(VLOOKUP(BH235,Fundamentus!A:U,20,FALSE)&lt;1,"Moderada",IF(VLOOKUP(BH235,Fundamentus!A:U,20,FALSE)&lt;2,"Alerta",IF(VLOOKUP(BH235,Fundamentus!A:U,20,FALSE)&gt;2,"Alta","n/a"))))</f>
        <v>Baixa</v>
      </c>
    </row>
    <row r="236" spans="1:156" s="2" customFormat="1" ht="11.25" hidden="1" x14ac:dyDescent="0.2">
      <c r="A236" s="4">
        <v>7.48</v>
      </c>
      <c r="B236" s="4">
        <v>7.28</v>
      </c>
      <c r="C236" s="4">
        <v>6.9</v>
      </c>
      <c r="D236" s="4">
        <v>6.77</v>
      </c>
      <c r="E236" s="4">
        <v>7</v>
      </c>
      <c r="F236" s="4">
        <v>7</v>
      </c>
      <c r="G236" s="4">
        <v>5.91</v>
      </c>
      <c r="H236" s="4">
        <v>6.04</v>
      </c>
      <c r="I236" s="4">
        <v>6.28</v>
      </c>
      <c r="J236" s="4">
        <v>6.28</v>
      </c>
      <c r="K236" s="4">
        <v>6.3</v>
      </c>
      <c r="L236" s="4">
        <v>5.9</v>
      </c>
      <c r="M236" s="4">
        <v>5.92</v>
      </c>
      <c r="N236" s="4">
        <v>5.88</v>
      </c>
      <c r="O236" s="4">
        <v>5.9</v>
      </c>
      <c r="P236" s="4">
        <v>5.9</v>
      </c>
      <c r="Q236" s="4">
        <v>5.9</v>
      </c>
      <c r="R236" s="4">
        <v>5.93</v>
      </c>
      <c r="S236" s="4">
        <v>5.84</v>
      </c>
      <c r="T236" s="4">
        <v>5.88</v>
      </c>
      <c r="U236" s="4">
        <v>5.78</v>
      </c>
      <c r="V236" s="4">
        <v>5.71</v>
      </c>
      <c r="W236" s="4">
        <v>5.68</v>
      </c>
      <c r="X236" s="4">
        <v>5.53</v>
      </c>
      <c r="Y236" s="4">
        <v>5.77</v>
      </c>
      <c r="Z236" s="4">
        <v>5.67</v>
      </c>
      <c r="AA236" s="4">
        <v>5.7</v>
      </c>
      <c r="AB236" s="4">
        <v>5.53</v>
      </c>
      <c r="AC236" s="4">
        <v>5.26</v>
      </c>
      <c r="AD236" s="4">
        <v>5.45</v>
      </c>
      <c r="AE236" s="4">
        <v>5.41</v>
      </c>
      <c r="AF236" s="4">
        <v>5.33</v>
      </c>
      <c r="AG236" s="4">
        <v>6.41</v>
      </c>
      <c r="AH236" s="4">
        <v>4.91</v>
      </c>
      <c r="AI236" s="4">
        <v>5.17</v>
      </c>
      <c r="AJ236" s="4">
        <v>5.78</v>
      </c>
      <c r="AK236" s="4">
        <v>5.46</v>
      </c>
      <c r="AL236" s="4">
        <v>5.34</v>
      </c>
      <c r="AM236" s="4">
        <v>5.23</v>
      </c>
      <c r="AN236" s="4">
        <v>5.24</v>
      </c>
      <c r="AO236" s="4">
        <v>5.13</v>
      </c>
      <c r="AP236" s="4">
        <v>5.05</v>
      </c>
      <c r="AQ236" s="4">
        <v>5.03</v>
      </c>
      <c r="AR236" s="4">
        <v>4.99</v>
      </c>
      <c r="AS236" s="4">
        <v>4.8499999999999996</v>
      </c>
      <c r="AT236" s="4">
        <v>4.96</v>
      </c>
      <c r="AU236" s="4">
        <v>5.0449999999999999</v>
      </c>
      <c r="AV236" s="4">
        <v>4.96</v>
      </c>
      <c r="AW236" s="4">
        <v>4.88</v>
      </c>
      <c r="AX236" s="4">
        <v>4.7</v>
      </c>
      <c r="AY236" s="12">
        <v>4.7</v>
      </c>
      <c r="AZ236" s="12">
        <v>4.72</v>
      </c>
      <c r="BA236" s="12">
        <v>4.78</v>
      </c>
      <c r="BB236" s="18">
        <v>4.7</v>
      </c>
      <c r="BC236" s="63">
        <v>4.49</v>
      </c>
      <c r="BD236" s="63">
        <v>4.5999999999999996</v>
      </c>
      <c r="BE236" s="63">
        <v>4.75</v>
      </c>
      <c r="BF236" s="63">
        <v>4.7699999999999996</v>
      </c>
      <c r="BG236" s="91" cm="1">
        <f t="array" aca="1" ref="BG236" ca="1">_FV(EE236,"Preço")</f>
        <v>4.91</v>
      </c>
      <c r="BH236" s="93" t="s">
        <v>233</v>
      </c>
      <c r="BI236" s="32" cm="1">
        <f t="array" aca="1" ref="BI236" ca="1">_FV(EE236,"Beta")</f>
        <v>0.55210000000000004</v>
      </c>
      <c r="BJ236" s="96" cm="1">
        <f t="array" aca="1" ref="BJ236" ca="1">_FV(EE236,"Variação (%)",TRUE)</f>
        <v>0</v>
      </c>
      <c r="BK236" s="49"/>
      <c r="BL236" s="49"/>
      <c r="BN236" s="32"/>
      <c r="BO236" s="20" cm="1">
        <f t="array" aca="1" ref="BO236" ca="1">_FV(EE236,"Baixo")</f>
        <v>4.87</v>
      </c>
      <c r="BP236" s="20" cm="1">
        <f t="array" aca="1" ref="BP236" ca="1">_FV(EE236,"Alto")</f>
        <v>5.19</v>
      </c>
      <c r="BQ236" s="32"/>
      <c r="BR236" s="74">
        <f ca="1">SQRT(22.5*(BG236/VLOOKUP(BH236,Fundamentus!A:U,3,FALSE))*(BG236/VLOOKUP(BH236,Fundamentus!A:U,4,FALSE)))</f>
        <v>5.9920839197178521</v>
      </c>
      <c r="BT236" s="73">
        <f t="shared" ca="1" si="235"/>
        <v>2.9350104821803058E-2</v>
      </c>
      <c r="BU236" s="36">
        <f t="shared" si="236"/>
        <v>-0.36497326203208558</v>
      </c>
      <c r="BV236" s="8"/>
      <c r="BW236" s="72">
        <f t="shared" si="237"/>
        <v>4.49</v>
      </c>
      <c r="BX236" s="72">
        <f t="shared" si="238"/>
        <v>5.5819827586206898</v>
      </c>
      <c r="BY236" s="72">
        <f t="shared" si="239"/>
        <v>7.48</v>
      </c>
      <c r="BZ236" s="17"/>
      <c r="CA236" s="17"/>
      <c r="CB236" s="43">
        <f t="shared" si="240"/>
        <v>4.6648058137092097</v>
      </c>
      <c r="CC236" s="18">
        <f t="shared" si="241"/>
        <v>4.8938800374883158</v>
      </c>
      <c r="CD236" s="43">
        <f t="shared" si="242"/>
        <v>5.1229542612674219</v>
      </c>
      <c r="CE236" s="98">
        <f t="shared" ca="1" si="243"/>
        <v>7.0370040966410349E-2</v>
      </c>
      <c r="CF236" s="17"/>
      <c r="CG236" s="20">
        <f t="shared" si="244"/>
        <v>0.69000000000000128</v>
      </c>
      <c r="CH236" s="20">
        <f t="shared" si="245"/>
        <v>2.5900000000000007</v>
      </c>
      <c r="CI236" s="20">
        <f t="shared" si="246"/>
        <v>3.6800000000000015</v>
      </c>
      <c r="CJ236" s="49">
        <f t="shared" si="247"/>
        <v>5.580000000000001</v>
      </c>
      <c r="CK236" s="20">
        <f t="shared" si="248"/>
        <v>6.6700000000000017</v>
      </c>
      <c r="CL236" s="20">
        <f t="shared" si="249"/>
        <v>8.57</v>
      </c>
      <c r="CM236" s="20">
        <f t="shared" si="250"/>
        <v>9.6600000000000019</v>
      </c>
      <c r="CN236" s="2" cm="1">
        <f t="array" aca="1" ref="CN236" ca="1">MAX(_xlfn._xlws.FILTER(CG236:CM236,CG236:CM236&lt;BG236))</f>
        <v>3.6800000000000015</v>
      </c>
      <c r="CO236" s="2" cm="1">
        <f t="array" aca="1" ref="CO236" ca="1">MIN(_xlfn._xlws.FILTER($CG236:$CM236,$CG236:$CM236&gt;BG236))</f>
        <v>5.580000000000001</v>
      </c>
      <c r="CP236" s="19">
        <f t="shared" ca="1" si="259"/>
        <v>0.5163043478260867</v>
      </c>
      <c r="CQ236" s="23">
        <f t="shared" ca="1" si="260"/>
        <v>-0.25815217391304335</v>
      </c>
      <c r="CR236" s="23">
        <f t="shared" ca="1" si="261"/>
        <v>-0.17210144927536222</v>
      </c>
      <c r="CS236" s="23">
        <f t="shared" ca="1" si="262"/>
        <v>-0.10326086956521734</v>
      </c>
      <c r="CT236" s="23">
        <f t="shared" ca="1" si="263"/>
        <v>-5.7367149758454077E-2</v>
      </c>
      <c r="CU236" s="23">
        <f t="shared" ca="1" si="264"/>
        <v>-3.0370843989769806E-2</v>
      </c>
      <c r="CV236" s="23">
        <f t="shared" ca="1" si="265"/>
        <v>-1.5645586297760201E-2</v>
      </c>
      <c r="CW236" s="23">
        <f t="shared" ca="1" si="266"/>
        <v>-7.9431438127090265E-3</v>
      </c>
      <c r="CX236" s="24">
        <f t="shared" ca="1" si="267"/>
        <v>7.9431438127090265E-3</v>
      </c>
      <c r="CY236" s="24">
        <f t="shared" ca="1" si="268"/>
        <v>1.5645586297760201E-2</v>
      </c>
      <c r="CZ236" s="24">
        <f t="shared" ca="1" si="269"/>
        <v>3.0370843989769806E-2</v>
      </c>
      <c r="DA236" s="24">
        <f t="shared" ca="1" si="270"/>
        <v>5.7367149758454077E-2</v>
      </c>
      <c r="DB236" s="24">
        <f t="shared" ca="1" si="271"/>
        <v>0.10326086956521734</v>
      </c>
      <c r="DC236" s="24">
        <f t="shared" ca="1" si="272"/>
        <v>0.17210144927536222</v>
      </c>
      <c r="DD236" s="24">
        <f t="shared" ca="1" si="273"/>
        <v>0.25815217391304335</v>
      </c>
      <c r="DF236" s="19" cm="1">
        <f t="array" aca="1" ref="DF236" ca="1">MAX(_xlfn._xlws.FILTER(CQ236:DD236,CQ236:DD236&lt;BJ236))</f>
        <v>-7.9431438127090265E-3</v>
      </c>
      <c r="DG236" s="19" cm="1">
        <f t="array" aca="1" ref="DG236" ca="1">MIN(_xlfn._xlws.FILTER(CQ236:DD236,CQ236:DD236&gt;BJ236))</f>
        <v>7.9431438127090265E-3</v>
      </c>
      <c r="DH236" s="2" cm="1">
        <f t="array" aca="1" ref="DH236" ca="1">_FV(EE236,"Fechamento anterior",TRUE)</f>
        <v>4.91</v>
      </c>
      <c r="DI236" s="36">
        <f t="shared" ca="1" si="251"/>
        <v>0.5</v>
      </c>
      <c r="DJ236" s="18">
        <f t="shared" ca="1" si="274"/>
        <v>4.8709991638795991</v>
      </c>
      <c r="DK236" s="18">
        <f t="shared" ca="1" si="275"/>
        <v>4.9490008361204012</v>
      </c>
      <c r="DL236" s="9"/>
      <c r="DM236" s="9"/>
      <c r="DN236" s="9"/>
      <c r="DO236" s="9"/>
      <c r="DP236" s="79">
        <v>1.7557251908396951E-2</v>
      </c>
      <c r="DQ236" s="79">
        <v>1.6274101590670973E-2</v>
      </c>
      <c r="DR236" s="79">
        <v>1.6274101590670973E-2</v>
      </c>
      <c r="DS236" s="79">
        <f t="shared" ca="1" si="252"/>
        <v>1.5886287625418053E-2</v>
      </c>
      <c r="DT236" s="47"/>
      <c r="DU236" s="43">
        <f t="shared" si="253"/>
        <v>0.11453711188955293</v>
      </c>
      <c r="DV236" s="83">
        <f t="shared" ca="1" si="254"/>
        <v>0.97819999999999996</v>
      </c>
      <c r="DW236" s="83">
        <f t="shared" ca="1" si="255"/>
        <v>0.55210000000000004</v>
      </c>
      <c r="DX236" s="83">
        <f t="shared" ca="1" si="234"/>
        <v>0.42609999999999992</v>
      </c>
      <c r="DY236" s="67"/>
      <c r="DZ236" s="67"/>
      <c r="EA236" s="85"/>
      <c r="EB236" s="44">
        <v>4000</v>
      </c>
      <c r="EC236" s="44" cm="1">
        <f t="array" aca="1" ref="EC236" ca="1">_FV(EE236,"Volume")</f>
        <v>5900</v>
      </c>
      <c r="EE236" s="2" t="e" vm="238">
        <v>#VALUE!</v>
      </c>
      <c r="EG236" s="10" cm="1">
        <f t="array" aca="1" ref="EG236" ca="1">_FV(EE236,"Ações em circulação",TRUE)</f>
        <v>14860570</v>
      </c>
      <c r="EH236" s="21">
        <f>VLOOKUP(BH236,Fundamentus!A:U,5,FALSE)</f>
        <v>9.7569999999999997</v>
      </c>
      <c r="EI236" s="2">
        <f t="shared" ca="1" si="256"/>
        <v>7478261.6275494518</v>
      </c>
      <c r="EJ236" s="20">
        <v>5912283.1813897705</v>
      </c>
      <c r="EK236" s="20">
        <f t="shared" ca="1" si="257"/>
        <v>6085809.3124997439</v>
      </c>
      <c r="EM236" s="40" t="str">
        <f>IF(VLOOKUP(BH236,Fundamentus!A:U,3,FALSE)&lt;15,"Bom",IF(VLOOKUP(BH236,Fundamentus!A:U,3,FALSE)&gt;15,"Ruim","n/a"))</f>
        <v>Bom</v>
      </c>
      <c r="EN236" s="36" t="str">
        <f>IF(VLOOKUP(BH236,Fundamentus!A:U,4,FALSE)&lt;1,"Baixo",IF(VLOOKUP(BH236,Fundamentus!A:U,4,FALSE)&lt;1.5,"Moderado",IF(VLOOKUP(BH236,Fundamentus!A:U,4,FALSE)&gt;1.5,"Alto","n/a")))</f>
        <v>Moderado</v>
      </c>
      <c r="EO236" s="20" t="str">
        <f>IF(VLOOKUP(BH236,Fundamentus!A:U,8,FALSE)&lt;0,"Risco elevado",IF(VLOOKUP(BH236,Fundamentus!A:U,8,FALSE)&lt;1,"Saudável",IF(VLOOKUP(BH236,Fundamentus!A:U,8,FALSE)&lt;3,"Estável",IF(VLOOKUP(BH236,Fundamentus!A:U,8,FALSE)&gt;3,"Alerta","n/a"))))</f>
        <v>Alerta</v>
      </c>
      <c r="EP236" s="36" t="str">
        <f t="shared" si="258"/>
        <v>Bom</v>
      </c>
      <c r="EQ236" s="20" t="str">
        <f>IF(VLOOKUP(BH236,Fundamentus!A:U,12,FALSE)&lt;2,"Subvalorizada",IF(VLOOKUP(BH236,Fundamentus!A:U,12,FALSE)&lt;6,"Muita barata",IF(VLOOKUP(BH236,Fundamentus!A:U,12,FALSE)&lt;6,"Barata",IF(VLOOKUP(BH236,Fundamentus!A:U,12,FALSE)&lt;8,"Atrativa",IF(VLOOKUP(BH236,Fundamentus!A:U,12,FALSE)&gt;8,"Supervalorizada","n/a")))))</f>
        <v>Subvalorizada</v>
      </c>
      <c r="ES236" s="20" t="str">
        <f>IF(VLOOKUP(BH236,Fundamentus!A:U,17,FALSE)&lt;0.1,"Fraco retorno",IF(VLOOKUP(BH236,Fundamentus!A:U,17,FALSE)&gt;0.1,"Bom retorno","n/a"))</f>
        <v>Bom retorno</v>
      </c>
      <c r="ET236" s="20" t="str">
        <f>IF(VLOOKUP(BH236,Fundamentus!A:U,16,FALSE)&lt;0.1,"Ineficiente",IF(VLOOKUP(BH236,Fundamentus!A:U,16,FALSE)&gt;0.1,"Eficiente","n/a"))</f>
        <v>Ineficiente</v>
      </c>
      <c r="EU236" s="41" t="str">
        <f>IF(VLOOKUP(BH236,Fundamentus!A:U,16,FALSE)&lt;0.1,"Oper. Ineficiente",IF(VLOOKUP(BH236,Fundamentus!A:U,16,FALSE)&gt;0.1,"Oper.Eficiente","n/a"))</f>
        <v>Oper. Ineficiente</v>
      </c>
      <c r="EV236" s="42">
        <f>VLOOKUP(BH236,Fundamentus!A:U,14,FALSE)</f>
        <v>0.81379999999999997</v>
      </c>
      <c r="EW236" s="20" t="str">
        <f>IF(VLOOKUP(BH236,Fundamentus!A:U,21,FALSE)&lt;0,"Negativo",IF(VLOOKUP(BH236,Fundamentus!A:U,21,FALSE)&lt;0.05,"Fraco",IF(VLOOKUP(BH236,Fundamentus!A:U,21,FALSE)&lt;0.1,"Bom",IF(VLOOKUP(BH236,Fundamentus!A:U,21,FALSE)&gt;0.1,"Muito bom","n/a"))))</f>
        <v>Negativo</v>
      </c>
      <c r="EY236" s="37" t="str">
        <f>IF(VLOOKUP(BH236,Fundamentus!A:U,15,FALSE)&gt;1,"Bom",IF(VLOOKUP(BH236,Fundamentus!A:U,15,FALSE)&lt;1,"Ruim","n/a"))</f>
        <v>Bom</v>
      </c>
      <c r="EZ236" s="20" t="str">
        <f>IF(VLOOKUP(BH236,Fundamentus!A:U,20,FALSE)&lt;0.5,"Baixa",IF(VLOOKUP(BH236,Fundamentus!A:U,20,FALSE)&lt;1,"Moderada",IF(VLOOKUP(BH236,Fundamentus!A:U,20,FALSE)&lt;2,"Alerta",IF(VLOOKUP(BH236,Fundamentus!A:U,20,FALSE)&gt;2,"Alta","n/a"))))</f>
        <v>Baixa</v>
      </c>
    </row>
    <row r="237" spans="1:156" s="2" customFormat="1" ht="11.25" hidden="1" x14ac:dyDescent="0.2">
      <c r="A237" s="4">
        <v>9.36</v>
      </c>
      <c r="B237" s="4">
        <v>9.17</v>
      </c>
      <c r="C237" s="4">
        <v>9.24</v>
      </c>
      <c r="D237" s="4">
        <v>9.3000000000000007</v>
      </c>
      <c r="E237" s="4">
        <v>9.3800000000000008</v>
      </c>
      <c r="F237" s="4">
        <v>8.75</v>
      </c>
      <c r="G237" s="4">
        <v>8.6999999999999993</v>
      </c>
      <c r="H237" s="4">
        <v>8.92</v>
      </c>
      <c r="I237" s="4">
        <v>9.15</v>
      </c>
      <c r="J237" s="4">
        <v>9.89</v>
      </c>
      <c r="K237" s="4">
        <v>9.9600000000000009</v>
      </c>
      <c r="L237" s="4">
        <v>10.210000000000001</v>
      </c>
      <c r="M237" s="4">
        <v>10.29</v>
      </c>
      <c r="N237" s="4">
        <v>10.25</v>
      </c>
      <c r="O237" s="4">
        <v>10.37</v>
      </c>
      <c r="P237" s="4">
        <v>11.3</v>
      </c>
      <c r="Q237" s="4">
        <v>8.26</v>
      </c>
      <c r="R237" s="4">
        <v>7.96</v>
      </c>
      <c r="S237" s="4">
        <v>7.9</v>
      </c>
      <c r="T237" s="4">
        <v>7.95</v>
      </c>
      <c r="U237" s="4">
        <v>7.84</v>
      </c>
      <c r="V237" s="4">
        <v>7.7</v>
      </c>
      <c r="W237" s="4">
        <v>7.77</v>
      </c>
      <c r="X237" s="4">
        <v>7.7</v>
      </c>
      <c r="Y237" s="4">
        <v>8.02</v>
      </c>
      <c r="Z237" s="4">
        <v>8.3699999999999992</v>
      </c>
      <c r="AA237" s="4">
        <v>8.43</v>
      </c>
      <c r="AB237" s="4">
        <v>8.59</v>
      </c>
      <c r="AC237" s="4">
        <v>8.48</v>
      </c>
      <c r="AD237" s="4">
        <v>8.41</v>
      </c>
      <c r="AE237" s="4">
        <v>7.99</v>
      </c>
      <c r="AF237" s="4">
        <v>8.2100000000000009</v>
      </c>
      <c r="AG237" s="4">
        <v>5.45</v>
      </c>
      <c r="AH237" s="4">
        <v>4.8600000000000003</v>
      </c>
      <c r="AI237" s="4">
        <v>4.96</v>
      </c>
      <c r="AJ237" s="4">
        <v>5.55</v>
      </c>
      <c r="AK237" s="4">
        <v>5.04</v>
      </c>
      <c r="AL237" s="4">
        <v>4.99</v>
      </c>
      <c r="AM237" s="4">
        <v>4.92</v>
      </c>
      <c r="AN237" s="4">
        <v>4.92</v>
      </c>
      <c r="AO237" s="4">
        <v>5.07</v>
      </c>
      <c r="AP237" s="4">
        <v>5.17</v>
      </c>
      <c r="AQ237" s="4">
        <v>4.84</v>
      </c>
      <c r="AR237" s="4">
        <v>4.5</v>
      </c>
      <c r="AS237" s="4">
        <v>4.76</v>
      </c>
      <c r="AT237" s="4">
        <v>4.8499999999999996</v>
      </c>
      <c r="AU237" s="4">
        <v>5.01</v>
      </c>
      <c r="AV237" s="4">
        <v>4.7699999999999996</v>
      </c>
      <c r="AW237" s="4">
        <v>4.9000000000000004</v>
      </c>
      <c r="AX237" s="4">
        <v>5.04</v>
      </c>
      <c r="AY237" s="12">
        <v>5.31</v>
      </c>
      <c r="AZ237" s="12">
        <v>5.64</v>
      </c>
      <c r="BA237" s="12">
        <v>5.0599999999999996</v>
      </c>
      <c r="BB237" s="18">
        <v>5.3</v>
      </c>
      <c r="BC237" s="63">
        <v>5.87</v>
      </c>
      <c r="BD237" s="63">
        <v>6.07</v>
      </c>
      <c r="BE237" s="63">
        <v>6.06</v>
      </c>
      <c r="BF237" s="63">
        <v>5.42</v>
      </c>
      <c r="BG237" s="91" cm="1">
        <f t="array" aca="1" ref="BG237" ca="1">_FV(EE237,"Preço")</f>
        <v>5.67</v>
      </c>
      <c r="BH237" s="93" t="s">
        <v>234</v>
      </c>
      <c r="BI237" s="32" cm="1">
        <f t="array" aca="1" ref="BI237" ca="1">_FV(EE237,"Beta")</f>
        <v>0.73719999999999997</v>
      </c>
      <c r="BJ237" s="96" cm="1">
        <f t="array" aca="1" ref="BJ237" ca="1">_FV(EE237,"Variação (%)",TRUE)</f>
        <v>-1.3913E-2</v>
      </c>
      <c r="BK237" s="49"/>
      <c r="BL237" s="49"/>
      <c r="BN237" s="32"/>
      <c r="BO237" s="20" cm="1">
        <f t="array" aca="1" ref="BO237" ca="1">_FV(EE237,"Baixo")</f>
        <v>5.55</v>
      </c>
      <c r="BP237" s="20" cm="1">
        <f t="array" aca="1" ref="BP237" ca="1">_FV(EE237,"Alto")</f>
        <v>5.72</v>
      </c>
      <c r="BQ237" s="32"/>
      <c r="BR237" s="74">
        <f ca="1">SQRT(22.5*(BG237/VLOOKUP(BH237,Fundamentus!A:U,3,FALSE))*(BG237/VLOOKUP(BH237,Fundamentus!A:U,4,FALSE)))</f>
        <v>24.700470315475126</v>
      </c>
      <c r="BT237" s="73">
        <f t="shared" ca="1" si="235"/>
        <v>4.6125461254612546E-2</v>
      </c>
      <c r="BU237" s="36">
        <f t="shared" si="236"/>
        <v>-0.35256410256410259</v>
      </c>
      <c r="BV237" s="8"/>
      <c r="BW237" s="72">
        <f t="shared" si="237"/>
        <v>4.5</v>
      </c>
      <c r="BX237" s="72">
        <f t="shared" si="238"/>
        <v>7.2094827586206911</v>
      </c>
      <c r="BY237" s="72">
        <f t="shared" si="239"/>
        <v>11.3</v>
      </c>
      <c r="BZ237" s="17"/>
      <c r="CA237" s="17"/>
      <c r="CB237" s="43">
        <f t="shared" si="240"/>
        <v>5.0102908701512874</v>
      </c>
      <c r="CC237" s="18">
        <f t="shared" si="241"/>
        <v>5.5372633552015031</v>
      </c>
      <c r="CD237" s="43">
        <f t="shared" si="242"/>
        <v>6.0642358402517189</v>
      </c>
      <c r="CE237" s="98">
        <f t="shared" ca="1" si="243"/>
        <v>0.25188534233594412</v>
      </c>
      <c r="CF237" s="17"/>
      <c r="CG237" s="20">
        <f t="shared" si="244"/>
        <v>-3.9533333333333349</v>
      </c>
      <c r="CH237" s="20">
        <f t="shared" si="245"/>
        <v>0.27333333333333254</v>
      </c>
      <c r="CI237" s="20">
        <f t="shared" si="246"/>
        <v>2.8466666666666658</v>
      </c>
      <c r="CJ237" s="49">
        <f t="shared" si="247"/>
        <v>7.0733333333333333</v>
      </c>
      <c r="CK237" s="20">
        <f t="shared" si="248"/>
        <v>9.6466666666666665</v>
      </c>
      <c r="CL237" s="20">
        <f t="shared" si="249"/>
        <v>13.873333333333335</v>
      </c>
      <c r="CM237" s="20">
        <f t="shared" si="250"/>
        <v>16.446666666666665</v>
      </c>
      <c r="CN237" s="2" cm="1">
        <f t="array" aca="1" ref="CN237" ca="1">MAX(_xlfn._xlws.FILTER(CG237:CM237,CG237:CM237&lt;BG237))</f>
        <v>2.8466666666666658</v>
      </c>
      <c r="CO237" s="2" cm="1">
        <f t="array" aca="1" ref="CO237" ca="1">MIN(_xlfn._xlws.FILTER($CG237:$CM237,$CG237:$CM237&gt;BG237))</f>
        <v>7.0733333333333333</v>
      </c>
      <c r="CP237" s="19">
        <f t="shared" ca="1" si="259"/>
        <v>1.4847775175644036</v>
      </c>
      <c r="CQ237" s="23">
        <f t="shared" ca="1" si="260"/>
        <v>-0.74238875878220179</v>
      </c>
      <c r="CR237" s="23">
        <f t="shared" ca="1" si="261"/>
        <v>-0.49492583918813454</v>
      </c>
      <c r="CS237" s="23">
        <f t="shared" ca="1" si="262"/>
        <v>-0.29695550351288069</v>
      </c>
      <c r="CT237" s="23">
        <f t="shared" ca="1" si="263"/>
        <v>-0.16497527972937817</v>
      </c>
      <c r="CU237" s="23">
        <f t="shared" ca="1" si="264"/>
        <v>-8.7339853974376686E-2</v>
      </c>
      <c r="CV237" s="23">
        <f t="shared" ca="1" si="265"/>
        <v>-4.4993258108012232E-2</v>
      </c>
      <c r="CW237" s="23">
        <f t="shared" ca="1" si="266"/>
        <v>-2.2842731039452363E-2</v>
      </c>
      <c r="CX237" s="24">
        <f t="shared" ca="1" si="267"/>
        <v>2.2842731039452363E-2</v>
      </c>
      <c r="CY237" s="24">
        <f t="shared" ca="1" si="268"/>
        <v>4.4993258108012232E-2</v>
      </c>
      <c r="CZ237" s="24">
        <f t="shared" ca="1" si="269"/>
        <v>8.7339853974376686E-2</v>
      </c>
      <c r="DA237" s="24">
        <f t="shared" ca="1" si="270"/>
        <v>0.16497527972937817</v>
      </c>
      <c r="DB237" s="24">
        <f t="shared" ca="1" si="271"/>
        <v>0.29695550351288069</v>
      </c>
      <c r="DC237" s="24">
        <f t="shared" ca="1" si="272"/>
        <v>0.49492583918813454</v>
      </c>
      <c r="DD237" s="24">
        <f t="shared" ca="1" si="273"/>
        <v>0.74238875878220179</v>
      </c>
      <c r="DF237" s="19" cm="1">
        <f t="array" aca="1" ref="DF237" ca="1">MAX(_xlfn._xlws.FILTER(CQ237:DD237,CQ237:DD237&lt;BJ237))</f>
        <v>-2.2842731039452363E-2</v>
      </c>
      <c r="DG237" s="19" cm="1">
        <f t="array" aca="1" ref="DG237" ca="1">MIN(_xlfn._xlws.FILTER(CQ237:DD237,CQ237:DD237&gt;BJ237))</f>
        <v>2.2842731039452363E-2</v>
      </c>
      <c r="DH237" s="2" cm="1">
        <f t="array" aca="1" ref="DH237" ca="1">_FV(EE237,"Fechamento anterior",TRUE)</f>
        <v>5.75</v>
      </c>
      <c r="DI237" s="36">
        <f t="shared" ca="1" si="251"/>
        <v>0.19546015635715347</v>
      </c>
      <c r="DJ237" s="18">
        <f t="shared" ca="1" si="274"/>
        <v>5.6186542965231485</v>
      </c>
      <c r="DK237" s="18">
        <f t="shared" ca="1" si="275"/>
        <v>5.8813457034768515</v>
      </c>
      <c r="DL237" s="9"/>
      <c r="DM237" s="9"/>
      <c r="DN237" s="9"/>
      <c r="DO237" s="9"/>
      <c r="DP237" s="79">
        <v>2.7831514254097911E-2</v>
      </c>
      <c r="DQ237" s="79">
        <v>1.6377775695680694E-2</v>
      </c>
      <c r="DR237" s="79">
        <v>7.5371687136393056E-2</v>
      </c>
      <c r="DS237" s="79">
        <f t="shared" ca="1" si="252"/>
        <v>4.5685462078904726E-2</v>
      </c>
      <c r="DT237" s="47"/>
      <c r="DU237" s="43">
        <f t="shared" si="253"/>
        <v>0.26348624252510794</v>
      </c>
      <c r="DV237" s="83">
        <f t="shared" ca="1" si="254"/>
        <v>1.1633</v>
      </c>
      <c r="DW237" s="83">
        <f t="shared" ca="1" si="255"/>
        <v>2.1284999999999998</v>
      </c>
      <c r="DX237" s="83">
        <f t="shared" ca="1" si="234"/>
        <v>-0.96519999999999984</v>
      </c>
      <c r="DY237" s="67"/>
      <c r="DZ237" s="67"/>
      <c r="EA237" s="85"/>
      <c r="EB237" s="44">
        <v>1025800</v>
      </c>
      <c r="EC237" s="44" cm="1">
        <f t="array" aca="1" ref="EC237" ca="1">_FV(EE237,"Volume")</f>
        <v>325100</v>
      </c>
      <c r="EE237" s="2" t="e" vm="239">
        <v>#VALUE!</v>
      </c>
      <c r="EG237" s="10" cm="1">
        <f t="array" aca="1" ref="EG237" ca="1">_FV(EE237,"Ações em circulação",TRUE)</f>
        <v>152644400</v>
      </c>
      <c r="EH237" s="21">
        <f>VLOOKUP(BH237,Fundamentus!A:U,5,FALSE)</f>
        <v>0.63900000000000001</v>
      </c>
      <c r="EI237" s="2">
        <f t="shared" ca="1" si="256"/>
        <v>1354450309.8591549</v>
      </c>
      <c r="EJ237" s="20">
        <v>653579844.61721432</v>
      </c>
      <c r="EK237" s="20">
        <f t="shared" ca="1" si="257"/>
        <v>683726516.41690147</v>
      </c>
      <c r="EM237" s="40" t="str">
        <f>IF(VLOOKUP(BH237,Fundamentus!A:U,3,FALSE)&lt;15,"Bom",IF(VLOOKUP(BH237,Fundamentus!A:U,3,FALSE)&gt;15,"Ruim","n/a"))</f>
        <v>Bom</v>
      </c>
      <c r="EN237" s="36" t="str">
        <f>IF(VLOOKUP(BH237,Fundamentus!A:U,4,FALSE)&lt;1,"Baixo",IF(VLOOKUP(BH237,Fundamentus!A:U,4,FALSE)&lt;1.5,"Moderado",IF(VLOOKUP(BH237,Fundamentus!A:U,4,FALSE)&gt;1.5,"Alto","n/a")))</f>
        <v>Baixo</v>
      </c>
      <c r="EO237" s="20" t="str">
        <f>IF(VLOOKUP(BH237,Fundamentus!A:U,8,FALSE)&lt;0,"Risco elevado",IF(VLOOKUP(BH237,Fundamentus!A:U,8,FALSE)&lt;1,"Saudável",IF(VLOOKUP(BH237,Fundamentus!A:U,8,FALSE)&lt;3,"Estável",IF(VLOOKUP(BH237,Fundamentus!A:U,8,FALSE)&gt;3,"Alerta","n/a"))))</f>
        <v>Saudável</v>
      </c>
      <c r="EP237" s="36" t="str">
        <f t="shared" si="258"/>
        <v>Ruim</v>
      </c>
      <c r="EQ237" s="20" t="str">
        <f>IF(VLOOKUP(BH237,Fundamentus!A:U,12,FALSE)&lt;2,"Subvalorizada",IF(VLOOKUP(BH237,Fundamentus!A:U,12,FALSE)&lt;6,"Muita barata",IF(VLOOKUP(BH237,Fundamentus!A:U,12,FALSE)&lt;6,"Barata",IF(VLOOKUP(BH237,Fundamentus!A:U,12,FALSE)&lt;8,"Atrativa",IF(VLOOKUP(BH237,Fundamentus!A:U,12,FALSE)&gt;8,"Supervalorizada","n/a")))))</f>
        <v>Muita barata</v>
      </c>
      <c r="ES237" s="20" t="str">
        <f>IF(VLOOKUP(BH237,Fundamentus!A:U,17,FALSE)&lt;0.1,"Fraco retorno",IF(VLOOKUP(BH237,Fundamentus!A:U,17,FALSE)&gt;0.1,"Bom retorno","n/a"))</f>
        <v>Bom retorno</v>
      </c>
      <c r="ET237" s="20" t="str">
        <f>IF(VLOOKUP(BH237,Fundamentus!A:U,16,FALSE)&lt;0.1,"Ineficiente",IF(VLOOKUP(BH237,Fundamentus!A:U,16,FALSE)&gt;0.1,"Eficiente","n/a"))</f>
        <v>Eficiente</v>
      </c>
      <c r="EU237" s="41" t="str">
        <f>IF(VLOOKUP(BH237,Fundamentus!A:U,16,FALSE)&lt;0.1,"Oper. Ineficiente",IF(VLOOKUP(BH237,Fundamentus!A:U,16,FALSE)&gt;0.1,"Oper.Eficiente","n/a"))</f>
        <v>Oper.Eficiente</v>
      </c>
      <c r="EV237" s="42">
        <f>VLOOKUP(BH237,Fundamentus!A:U,14,FALSE)</f>
        <v>0.50480000000000003</v>
      </c>
      <c r="EW237" s="20" t="str">
        <f>IF(VLOOKUP(BH237,Fundamentus!A:U,21,FALSE)&lt;0,"Negativo",IF(VLOOKUP(BH237,Fundamentus!A:U,21,FALSE)&lt;0.05,"Fraco",IF(VLOOKUP(BH237,Fundamentus!A:U,21,FALSE)&lt;0.1,"Bom",IF(VLOOKUP(BH237,Fundamentus!A:U,21,FALSE)&gt;0.1,"Muito bom","n/a"))))</f>
        <v>Fraco</v>
      </c>
      <c r="EY237" s="37" t="str">
        <f>IF(VLOOKUP(BH237,Fundamentus!A:U,15,FALSE)&gt;1,"Bom",IF(VLOOKUP(BH237,Fundamentus!A:U,15,FALSE)&lt;1,"Ruim","n/a"))</f>
        <v>Bom</v>
      </c>
      <c r="EZ237" s="20" t="str">
        <f>IF(VLOOKUP(BH237,Fundamentus!A:U,20,FALSE)&lt;0.5,"Baixa",IF(VLOOKUP(BH237,Fundamentus!A:U,20,FALSE)&lt;1,"Moderada",IF(VLOOKUP(BH237,Fundamentus!A:U,20,FALSE)&lt;2,"Alerta",IF(VLOOKUP(BH237,Fundamentus!A:U,20,FALSE)&gt;2,"Alta","n/a"))))</f>
        <v>Moderada</v>
      </c>
    </row>
    <row r="238" spans="1:156" s="2" customFormat="1" ht="11.25" hidden="1" x14ac:dyDescent="0.2">
      <c r="A238" s="4">
        <v>7.19</v>
      </c>
      <c r="B238" s="4">
        <v>7.34</v>
      </c>
      <c r="C238" s="4">
        <v>7.28</v>
      </c>
      <c r="D238" s="4">
        <v>6.86</v>
      </c>
      <c r="E238" s="4">
        <v>6.93</v>
      </c>
      <c r="F238" s="4">
        <v>6.87</v>
      </c>
      <c r="G238" s="4">
        <v>6.85</v>
      </c>
      <c r="H238" s="4">
        <v>6.63</v>
      </c>
      <c r="I238" s="4">
        <v>6.66</v>
      </c>
      <c r="J238" s="4">
        <v>6.98</v>
      </c>
      <c r="K238" s="4">
        <v>6.96</v>
      </c>
      <c r="L238" s="4">
        <v>6.74</v>
      </c>
      <c r="M238" s="4">
        <v>6.73</v>
      </c>
      <c r="N238" s="4">
        <v>6.72</v>
      </c>
      <c r="O238" s="4">
        <v>7.18</v>
      </c>
      <c r="P238" s="4">
        <v>7.27</v>
      </c>
      <c r="Q238" s="4">
        <v>7.55</v>
      </c>
      <c r="R238" s="4">
        <v>7.47</v>
      </c>
      <c r="S238" s="4">
        <v>7.53</v>
      </c>
      <c r="T238" s="4">
        <v>8.0299999999999994</v>
      </c>
      <c r="U238" s="4">
        <v>7.4</v>
      </c>
      <c r="V238" s="4">
        <v>7.34</v>
      </c>
      <c r="W238" s="4">
        <v>7.68</v>
      </c>
      <c r="X238" s="4">
        <v>7.36</v>
      </c>
      <c r="Y238" s="4">
        <v>6.99</v>
      </c>
      <c r="Z238" s="4">
        <v>6.98</v>
      </c>
      <c r="AA238" s="4">
        <v>6.75</v>
      </c>
      <c r="AB238" s="4">
        <v>6.93</v>
      </c>
      <c r="AC238" s="4">
        <v>6.44</v>
      </c>
      <c r="AD238" s="4">
        <v>6.38</v>
      </c>
      <c r="AE238" s="4">
        <v>5.26</v>
      </c>
      <c r="AF238" s="4">
        <v>5.0199999999999996</v>
      </c>
      <c r="AG238" s="4">
        <v>5.03</v>
      </c>
      <c r="AH238" s="4">
        <v>5.26</v>
      </c>
      <c r="AI238" s="4">
        <v>5.35</v>
      </c>
      <c r="AJ238" s="4">
        <v>5.12</v>
      </c>
      <c r="AK238" s="4">
        <v>5.09</v>
      </c>
      <c r="AL238" s="4">
        <v>5.27</v>
      </c>
      <c r="AM238" s="4">
        <v>5.18</v>
      </c>
      <c r="AN238" s="4">
        <v>5.64</v>
      </c>
      <c r="AO238" s="4">
        <v>5.45</v>
      </c>
      <c r="AP238" s="4">
        <v>5.8</v>
      </c>
      <c r="AQ238" s="4">
        <v>5.74</v>
      </c>
      <c r="AR238" s="4">
        <v>4.51</v>
      </c>
      <c r="AS238" s="4">
        <v>4.7699999999999996</v>
      </c>
      <c r="AT238" s="4">
        <v>5.0199999999999996</v>
      </c>
      <c r="AU238" s="4">
        <v>5.1349999999999998</v>
      </c>
      <c r="AV238" s="4">
        <v>5.2</v>
      </c>
      <c r="AW238" s="4">
        <v>4.99</v>
      </c>
      <c r="AX238" s="4">
        <v>4.93</v>
      </c>
      <c r="AY238" s="12">
        <v>5.57</v>
      </c>
      <c r="AZ238" s="12">
        <v>6.11</v>
      </c>
      <c r="BA238" s="12">
        <v>5.92</v>
      </c>
      <c r="BB238" s="18">
        <v>6.15</v>
      </c>
      <c r="BC238" s="63">
        <v>5.49</v>
      </c>
      <c r="BD238" s="63">
        <v>5.07</v>
      </c>
      <c r="BE238" s="63">
        <v>5.29</v>
      </c>
      <c r="BF238" s="63">
        <v>5.92</v>
      </c>
      <c r="BG238" s="91" cm="1">
        <f t="array" aca="1" ref="BG238" ca="1">_FV(EE238,"Preço")</f>
        <v>5.76</v>
      </c>
      <c r="BH238" s="93" t="s">
        <v>235</v>
      </c>
      <c r="BI238" s="32" cm="1">
        <f t="array" aca="1" ref="BI238" ca="1">_FV(EE238,"Beta")</f>
        <v>1.6288</v>
      </c>
      <c r="BJ238" s="96" cm="1">
        <f t="array" aca="1" ref="BJ238" ca="1">_FV(EE238,"Variação (%)",TRUE)</f>
        <v>-2.3729E-2</v>
      </c>
      <c r="BK238" s="49"/>
      <c r="BL238" s="49"/>
      <c r="BN238" s="32"/>
      <c r="BO238" s="20" cm="1">
        <f t="array" aca="1" ref="BO238" ca="1">_FV(EE238,"Baixo")</f>
        <v>5.76</v>
      </c>
      <c r="BP238" s="20" cm="1">
        <f t="array" aca="1" ref="BP238" ca="1">_FV(EE238,"Alto")</f>
        <v>5.95</v>
      </c>
      <c r="BQ238" s="32"/>
      <c r="BR238" s="71" t="e">
        <f ca="1">SQRT(22.5*(BG238/VLOOKUP(BH238,Fundamentus!A:U,3,FALSE))*(BG238/VLOOKUP(BH238,Fundamentus!A:U,4,FALSE)))</f>
        <v>#NUM!</v>
      </c>
      <c r="BT238" s="73">
        <f t="shared" ca="1" si="235"/>
        <v>-2.7027027027027053E-2</v>
      </c>
      <c r="BU238" s="36">
        <f t="shared" si="236"/>
        <v>-0.26425591098748263</v>
      </c>
      <c r="BV238" s="8"/>
      <c r="BW238" s="72">
        <f t="shared" si="237"/>
        <v>4.51</v>
      </c>
      <c r="BX238" s="72">
        <f t="shared" si="238"/>
        <v>6.2293965517241379</v>
      </c>
      <c r="BY238" s="72">
        <f t="shared" si="239"/>
        <v>8.0299999999999994</v>
      </c>
      <c r="BZ238" s="17"/>
      <c r="CA238" s="17"/>
      <c r="CB238" s="43">
        <f t="shared" si="240"/>
        <v>5.1646935746763916</v>
      </c>
      <c r="CC238" s="18">
        <f t="shared" si="241"/>
        <v>5.791012183692601</v>
      </c>
      <c r="CD238" s="43">
        <f t="shared" si="242"/>
        <v>6.4173307927088103</v>
      </c>
      <c r="CE238" s="98">
        <f t="shared" ca="1" si="243"/>
        <v>-4.9515028367612436E-2</v>
      </c>
      <c r="CF238" s="17"/>
      <c r="CG238" s="20">
        <f t="shared" si="244"/>
        <v>0.75666666666666771</v>
      </c>
      <c r="CH238" s="20">
        <f t="shared" si="245"/>
        <v>2.6333333333333337</v>
      </c>
      <c r="CI238" s="20">
        <f t="shared" si="246"/>
        <v>4.2766666666666673</v>
      </c>
      <c r="CJ238" s="49">
        <f t="shared" si="247"/>
        <v>6.1533333333333333</v>
      </c>
      <c r="CK238" s="20">
        <f t="shared" si="248"/>
        <v>7.7966666666666669</v>
      </c>
      <c r="CL238" s="20">
        <f t="shared" si="249"/>
        <v>9.673333333333332</v>
      </c>
      <c r="CM238" s="20">
        <f t="shared" si="250"/>
        <v>11.316666666666666</v>
      </c>
      <c r="CN238" s="2" cm="1">
        <f t="array" aca="1" ref="CN238" ca="1">MAX(_xlfn._xlws.FILTER(CG238:CM238,CG238:CM238&lt;BG238))</f>
        <v>4.2766666666666673</v>
      </c>
      <c r="CO238" s="2" cm="1">
        <f t="array" aca="1" ref="CO238" ca="1">MIN(_xlfn._xlws.FILTER($CG238:$CM238,$CG238:$CM238&gt;BG238))</f>
        <v>6.1533333333333333</v>
      </c>
      <c r="CP238" s="19">
        <f t="shared" ca="1" si="259"/>
        <v>0.43881527669524534</v>
      </c>
      <c r="CQ238" s="23">
        <f t="shared" ca="1" si="260"/>
        <v>-0.21940763834762267</v>
      </c>
      <c r="CR238" s="23">
        <f t="shared" ca="1" si="261"/>
        <v>-0.14627175889841512</v>
      </c>
      <c r="CS238" s="23">
        <f t="shared" ca="1" si="262"/>
        <v>-8.7763055339049073E-2</v>
      </c>
      <c r="CT238" s="23">
        <f t="shared" ca="1" si="263"/>
        <v>-4.8757252966138372E-2</v>
      </c>
      <c r="CU238" s="23">
        <f t="shared" ca="1" si="264"/>
        <v>-2.5812663335014432E-2</v>
      </c>
      <c r="CV238" s="23">
        <f t="shared" ca="1" si="265"/>
        <v>-1.3297432627128647E-2</v>
      </c>
      <c r="CW238" s="23">
        <f t="shared" ca="1" si="266"/>
        <v>-6.7510042568499282E-3</v>
      </c>
      <c r="CX238" s="24">
        <f t="shared" ca="1" si="267"/>
        <v>6.7510042568499282E-3</v>
      </c>
      <c r="CY238" s="24">
        <f t="shared" ca="1" si="268"/>
        <v>1.3297432627128647E-2</v>
      </c>
      <c r="CZ238" s="24">
        <f t="shared" ca="1" si="269"/>
        <v>2.5812663335014432E-2</v>
      </c>
      <c r="DA238" s="24">
        <f t="shared" ca="1" si="270"/>
        <v>4.8757252966138372E-2</v>
      </c>
      <c r="DB238" s="24">
        <f t="shared" ca="1" si="271"/>
        <v>8.7763055339049073E-2</v>
      </c>
      <c r="DC238" s="24">
        <f t="shared" ca="1" si="272"/>
        <v>0.14627175889841512</v>
      </c>
      <c r="DD238" s="24">
        <f t="shared" ca="1" si="273"/>
        <v>0.21940763834762267</v>
      </c>
      <c r="DF238" s="19" cm="1">
        <f t="array" aca="1" ref="DF238" ca="1">MAX(_xlfn._xlws.FILTER(CQ238:DD238,CQ238:DD238&lt;BJ238))</f>
        <v>-2.5812663335014432E-2</v>
      </c>
      <c r="DG238" s="19" cm="1">
        <f t="array" aca="1" ref="DG238" ca="1">MIN(_xlfn._xlws.FILTER(CQ238:DD238,CQ238:DD238&gt;BJ238))</f>
        <v>-1.3297432627128647E-2</v>
      </c>
      <c r="DH238" s="2" cm="1">
        <f t="array" aca="1" ref="DH238" ca="1">_FV(EE238,"Fechamento anterior",TRUE)</f>
        <v>5.9</v>
      </c>
      <c r="DI238" s="36">
        <f t="shared" ca="1" si="251"/>
        <v>0.16650510280879061</v>
      </c>
      <c r="DJ238" s="18">
        <f t="shared" ca="1" si="274"/>
        <v>5.7477052863234155</v>
      </c>
      <c r="DK238" s="18">
        <f t="shared" ca="1" si="275"/>
        <v>5.8215451474999416</v>
      </c>
      <c r="DL238" s="9"/>
      <c r="DM238" s="9"/>
      <c r="DN238" s="9"/>
      <c r="DO238" s="9"/>
      <c r="DP238" s="79">
        <v>4.2318990920161984E-3</v>
      </c>
      <c r="DQ238" s="79">
        <v>8.72829187728341E-3</v>
      </c>
      <c r="DR238" s="79">
        <v>8.72829187728341E-3</v>
      </c>
      <c r="DS238" s="79">
        <f t="shared" ca="1" si="252"/>
        <v>1.2515230707885785E-2</v>
      </c>
      <c r="DT238" s="47"/>
      <c r="DU238" s="43">
        <f t="shared" si="253"/>
        <v>0.31315930450810481</v>
      </c>
      <c r="DV238" s="83">
        <f t="shared" ca="1" si="254"/>
        <v>2.0548999999999999</v>
      </c>
      <c r="DW238" s="83">
        <f t="shared" ca="1" si="255"/>
        <v>4.0016999999999996</v>
      </c>
      <c r="DX238" s="83">
        <f t="shared" ca="1" si="234"/>
        <v>-1.9467999999999996</v>
      </c>
      <c r="DY238" s="67"/>
      <c r="DZ238" s="67"/>
      <c r="EA238" s="85"/>
      <c r="EB238" s="44">
        <v>10451800</v>
      </c>
      <c r="EC238" s="44" cm="1">
        <f t="array" aca="1" ref="EC238" ca="1">_FV(EE238,"Volume")</f>
        <v>10520700</v>
      </c>
      <c r="EE238" s="2" t="e" vm="240">
        <v>#VALUE!</v>
      </c>
      <c r="EG238" s="10" cm="1">
        <f t="array" aca="1" ref="EG238" ca="1">_FV(EE238,"Ações em circulação",TRUE)</f>
        <v>562826700</v>
      </c>
      <c r="EH238" s="21">
        <f>VLOOKUP(BH238,Fundamentus!A:U,5,FALSE)</f>
        <v>0.35399999999999998</v>
      </c>
      <c r="EI238" s="2">
        <f t="shared" ca="1" si="256"/>
        <v>9157858169.4915257</v>
      </c>
      <c r="EJ238" s="20">
        <v>-678622728.85423732</v>
      </c>
      <c r="EK238" s="20">
        <f t="shared" ca="1" si="257"/>
        <v>-660281574.02033901</v>
      </c>
      <c r="EM238" s="40" t="str">
        <f>IF(VLOOKUP(BH238,Fundamentus!A:U,3,FALSE)&lt;15,"Bom",IF(VLOOKUP(BH238,Fundamentus!A:U,3,FALSE)&gt;15,"Ruim","n/a"))</f>
        <v>Bom</v>
      </c>
      <c r="EN238" s="36" t="str">
        <f>IF(VLOOKUP(BH238,Fundamentus!A:U,4,FALSE)&lt;1,"Baixo",IF(VLOOKUP(BH238,Fundamentus!A:U,4,FALSE)&lt;1.5,"Moderado",IF(VLOOKUP(BH238,Fundamentus!A:U,4,FALSE)&gt;1.5,"Alto","n/a")))</f>
        <v>Baixo</v>
      </c>
      <c r="EO238" s="20" t="str">
        <f>IF(VLOOKUP(BH238,Fundamentus!A:U,8,FALSE)&lt;0,"Risco elevado",IF(VLOOKUP(BH238,Fundamentus!A:U,8,FALSE)&lt;1,"Saudável",IF(VLOOKUP(BH238,Fundamentus!A:U,8,FALSE)&lt;3,"Estável",IF(VLOOKUP(BH238,Fundamentus!A:U,8,FALSE)&gt;3,"Alerta","n/a"))))</f>
        <v>Saudável</v>
      </c>
      <c r="EP238" s="36" t="str">
        <f t="shared" si="258"/>
        <v>Ruim</v>
      </c>
      <c r="EQ238" s="20" t="str">
        <f>IF(VLOOKUP(BH238,Fundamentus!A:U,12,FALSE)&lt;2,"Subvalorizada",IF(VLOOKUP(BH238,Fundamentus!A:U,12,FALSE)&lt;6,"Muita barata",IF(VLOOKUP(BH238,Fundamentus!A:U,12,FALSE)&lt;6,"Barata",IF(VLOOKUP(BH238,Fundamentus!A:U,12,FALSE)&lt;8,"Atrativa",IF(VLOOKUP(BH238,Fundamentus!A:U,12,FALSE)&gt;8,"Supervalorizada","n/a")))))</f>
        <v>Supervalorizada</v>
      </c>
      <c r="ES238" s="20" t="str">
        <f>IF(VLOOKUP(BH238,Fundamentus!A:U,17,FALSE)&lt;0.1,"Fraco retorno",IF(VLOOKUP(BH238,Fundamentus!A:U,17,FALSE)&gt;0.1,"Bom retorno","n/a"))</f>
        <v>Fraco retorno</v>
      </c>
      <c r="ET238" s="20" t="str">
        <f>IF(VLOOKUP(BH238,Fundamentus!A:U,16,FALSE)&lt;0.1,"Ineficiente",IF(VLOOKUP(BH238,Fundamentus!A:U,16,FALSE)&gt;0.1,"Eficiente","n/a"))</f>
        <v>Ineficiente</v>
      </c>
      <c r="EU238" s="41" t="str">
        <f>IF(VLOOKUP(BH238,Fundamentus!A:U,16,FALSE)&lt;0.1,"Oper. Ineficiente",IF(VLOOKUP(BH238,Fundamentus!A:U,16,FALSE)&gt;0.1,"Oper.Eficiente","n/a"))</f>
        <v>Oper. Ineficiente</v>
      </c>
      <c r="EV238" s="42">
        <f>VLOOKUP(BH238,Fundamentus!A:U,14,FALSE)</f>
        <v>-7.2099999999999997E-2</v>
      </c>
      <c r="EW238" s="20" t="str">
        <f>IF(VLOOKUP(BH238,Fundamentus!A:U,21,FALSE)&lt;0,"Negativo",IF(VLOOKUP(BH238,Fundamentus!A:U,21,FALSE)&lt;0.05,"Fraco",IF(VLOOKUP(BH238,Fundamentus!A:U,21,FALSE)&lt;0.1,"Bom",IF(VLOOKUP(BH238,Fundamentus!A:U,21,FALSE)&gt;0.1,"Muito bom","n/a"))))</f>
        <v>Bom</v>
      </c>
      <c r="EY238" s="37" t="str">
        <f>IF(VLOOKUP(BH238,Fundamentus!A:U,15,FALSE)&gt;1,"Bom",IF(VLOOKUP(BH238,Fundamentus!A:U,15,FALSE)&lt;1,"Ruim","n/a"))</f>
        <v>Bom</v>
      </c>
      <c r="EZ238" s="20" t="str">
        <f>IF(VLOOKUP(BH238,Fundamentus!A:U,20,FALSE)&lt;0.5,"Baixa",IF(VLOOKUP(BH238,Fundamentus!A:U,20,FALSE)&lt;1,"Moderada",IF(VLOOKUP(BH238,Fundamentus!A:U,20,FALSE)&lt;2,"Alerta",IF(VLOOKUP(BH238,Fundamentus!A:U,20,FALSE)&gt;2,"Alta","n/a"))))</f>
        <v>Alerta</v>
      </c>
    </row>
    <row r="239" spans="1:156" s="2" customFormat="1" ht="11.25" hidden="1" x14ac:dyDescent="0.2">
      <c r="A239" s="4">
        <v>7.62</v>
      </c>
      <c r="B239" s="4">
        <v>7.24</v>
      </c>
      <c r="C239" s="4">
        <v>7.06</v>
      </c>
      <c r="D239" s="4">
        <v>6.45</v>
      </c>
      <c r="E239" s="4">
        <v>6.48</v>
      </c>
      <c r="F239" s="4">
        <v>6.39</v>
      </c>
      <c r="G239" s="4">
        <v>6.03</v>
      </c>
      <c r="H239" s="4">
        <v>5.94</v>
      </c>
      <c r="I239" s="4">
        <v>6.02</v>
      </c>
      <c r="J239" s="4">
        <v>6.69</v>
      </c>
      <c r="K239" s="4">
        <v>6.85</v>
      </c>
      <c r="L239" s="4">
        <v>6.08</v>
      </c>
      <c r="M239" s="4">
        <v>6.35</v>
      </c>
      <c r="N239" s="4">
        <v>6.62</v>
      </c>
      <c r="O239" s="4">
        <v>7.5</v>
      </c>
      <c r="P239" s="4">
        <v>7.31</v>
      </c>
      <c r="Q239" s="4">
        <v>7.58</v>
      </c>
      <c r="R239" s="4">
        <v>7.14</v>
      </c>
      <c r="S239" s="4">
        <v>6.94</v>
      </c>
      <c r="T239" s="4">
        <v>7.21</v>
      </c>
      <c r="U239" s="4">
        <v>6.53</v>
      </c>
      <c r="V239" s="4">
        <v>6.24</v>
      </c>
      <c r="W239" s="4">
        <v>5.89</v>
      </c>
      <c r="X239" s="4">
        <v>5.52</v>
      </c>
      <c r="Y239" s="4">
        <v>5.76</v>
      </c>
      <c r="Z239" s="4">
        <v>5.9</v>
      </c>
      <c r="AA239" s="4">
        <v>5.67</v>
      </c>
      <c r="AB239" s="4">
        <v>6.35</v>
      </c>
      <c r="AC239" s="4">
        <v>6.13</v>
      </c>
      <c r="AD239" s="4">
        <v>6.98</v>
      </c>
      <c r="AE239" s="4">
        <v>5.24</v>
      </c>
      <c r="AF239" s="4">
        <v>5.03</v>
      </c>
      <c r="AG239" s="4">
        <v>4.21</v>
      </c>
      <c r="AH239" s="4">
        <v>3.79</v>
      </c>
      <c r="AI239" s="4">
        <v>3.64</v>
      </c>
      <c r="AJ239" s="4">
        <v>3.61</v>
      </c>
      <c r="AK239" s="4">
        <v>3.4</v>
      </c>
      <c r="AL239" s="4">
        <v>3.64</v>
      </c>
      <c r="AM239" s="4">
        <v>3.72</v>
      </c>
      <c r="AN239" s="4">
        <v>3.95</v>
      </c>
      <c r="AO239" s="4">
        <v>3.34</v>
      </c>
      <c r="AP239" s="4">
        <v>4.1100000000000003</v>
      </c>
      <c r="AQ239" s="4">
        <v>3.89</v>
      </c>
      <c r="AR239" s="4">
        <v>3.56</v>
      </c>
      <c r="AS239" s="4">
        <v>3.66</v>
      </c>
      <c r="AT239" s="4">
        <v>4.12</v>
      </c>
      <c r="AU239" s="4">
        <v>4.7549999999999999</v>
      </c>
      <c r="AV239" s="4">
        <v>5.0999999999999996</v>
      </c>
      <c r="AW239" s="4">
        <v>5.44</v>
      </c>
      <c r="AX239" s="4">
        <v>5.79</v>
      </c>
      <c r="AY239" s="12">
        <v>6.06</v>
      </c>
      <c r="AZ239" s="12">
        <v>7.18</v>
      </c>
      <c r="BA239" s="12">
        <v>7.07</v>
      </c>
      <c r="BB239" s="18">
        <v>7.68</v>
      </c>
      <c r="BC239" s="63">
        <v>6.86</v>
      </c>
      <c r="BD239" s="63">
        <v>6.62</v>
      </c>
      <c r="BE239" s="63">
        <v>6.95</v>
      </c>
      <c r="BF239" s="63">
        <v>6.59</v>
      </c>
      <c r="BG239" s="91" cm="1">
        <f t="array" aca="1" ref="BG239" ca="1">_FV(EE239,"Preço")</f>
        <v>7.72</v>
      </c>
      <c r="BH239" s="93" t="s">
        <v>236</v>
      </c>
      <c r="BI239" s="32" cm="1">
        <f t="array" aca="1" ref="BI239" ca="1">_FV(EE239,"Beta")</f>
        <v>1.5515000000000001</v>
      </c>
      <c r="BJ239" s="96" cm="1">
        <f t="array" aca="1" ref="BJ239" ca="1">_FV(EE239,"Variação (%)",TRUE)</f>
        <v>-3.1368E-2</v>
      </c>
      <c r="BK239" s="49"/>
      <c r="BL239" s="49"/>
      <c r="BN239" s="32"/>
      <c r="BO239" s="20" cm="1">
        <f t="array" aca="1" ref="BO239" ca="1">_FV(EE239,"Baixo")</f>
        <v>7.66</v>
      </c>
      <c r="BP239" s="20" cm="1">
        <f t="array" aca="1" ref="BP239" ca="1">_FV(EE239,"Alto")</f>
        <v>7.92</v>
      </c>
      <c r="BQ239" s="32"/>
      <c r="BR239" s="74">
        <f ca="1">SQRT(22.5*(BG239/VLOOKUP(BH239,Fundamentus!A:U,3,FALSE))*(BG239/VLOOKUP(BH239,Fundamentus!A:U,4,FALSE)))</f>
        <v>12.996641182145229</v>
      </c>
      <c r="BT239" s="73">
        <f t="shared" ca="1" si="235"/>
        <v>0.1714719271623672</v>
      </c>
      <c r="BU239" s="36">
        <f t="shared" si="236"/>
        <v>-8.7926509186351698E-2</v>
      </c>
      <c r="BV239" s="8"/>
      <c r="BW239" s="72">
        <f t="shared" si="237"/>
        <v>3.34</v>
      </c>
      <c r="BX239" s="72">
        <f t="shared" si="238"/>
        <v>5.7840517241379308</v>
      </c>
      <c r="BY239" s="72">
        <f t="shared" si="239"/>
        <v>7.68</v>
      </c>
      <c r="BZ239" s="17"/>
      <c r="CA239" s="17"/>
      <c r="CB239" s="43">
        <f t="shared" si="240"/>
        <v>6.3288145323164162</v>
      </c>
      <c r="CC239" s="18">
        <f t="shared" si="241"/>
        <v>6.6362230552952042</v>
      </c>
      <c r="CD239" s="43">
        <f t="shared" si="242"/>
        <v>6.9436315782739921</v>
      </c>
      <c r="CE239" s="98">
        <f t="shared" ca="1" si="243"/>
        <v>3.525526664657828</v>
      </c>
      <c r="CF239" s="17"/>
      <c r="CG239" s="20">
        <f t="shared" si="244"/>
        <v>-0.27999999999999936</v>
      </c>
      <c r="CH239" s="20">
        <f t="shared" si="245"/>
        <v>1.5300000000000002</v>
      </c>
      <c r="CI239" s="20">
        <f t="shared" si="246"/>
        <v>4.0600000000000005</v>
      </c>
      <c r="CJ239" s="49">
        <f t="shared" si="247"/>
        <v>5.87</v>
      </c>
      <c r="CK239" s="20">
        <f t="shared" si="248"/>
        <v>8.4</v>
      </c>
      <c r="CL239" s="20">
        <f t="shared" si="249"/>
        <v>10.210000000000001</v>
      </c>
      <c r="CM239" s="20">
        <f t="shared" si="250"/>
        <v>12.74</v>
      </c>
      <c r="CN239" s="2" cm="1">
        <f t="array" aca="1" ref="CN239" ca="1">MAX(_xlfn._xlws.FILTER(CG239:CM239,CG239:CM239&lt;BG239))</f>
        <v>5.87</v>
      </c>
      <c r="CO239" s="2" cm="1">
        <f t="array" aca="1" ref="CO239" ca="1">MIN(_xlfn._xlws.FILTER($CG239:$CM239,$CG239:$CM239&gt;BG239))</f>
        <v>8.4</v>
      </c>
      <c r="CP239" s="19">
        <f t="shared" ca="1" si="259"/>
        <v>0.43100511073253833</v>
      </c>
      <c r="CQ239" s="23">
        <f t="shared" ca="1" si="260"/>
        <v>-0.21550255536626917</v>
      </c>
      <c r="CR239" s="23">
        <f t="shared" ca="1" si="261"/>
        <v>-0.14366837024417944</v>
      </c>
      <c r="CS239" s="23">
        <f t="shared" ca="1" si="262"/>
        <v>-8.6201022146507669E-2</v>
      </c>
      <c r="CT239" s="23">
        <f t="shared" ca="1" si="263"/>
        <v>-4.7889456748059812E-2</v>
      </c>
      <c r="CU239" s="23">
        <f t="shared" ca="1" si="264"/>
        <v>-2.5353241807796374E-2</v>
      </c>
      <c r="CV239" s="23">
        <f t="shared" ca="1" si="265"/>
        <v>-1.306076093128904E-2</v>
      </c>
      <c r="CW239" s="23">
        <f t="shared" ca="1" si="266"/>
        <v>-6.6308478574236664E-3</v>
      </c>
      <c r="CX239" s="24">
        <f t="shared" ca="1" si="267"/>
        <v>6.6308478574236664E-3</v>
      </c>
      <c r="CY239" s="24">
        <f t="shared" ca="1" si="268"/>
        <v>1.306076093128904E-2</v>
      </c>
      <c r="CZ239" s="24">
        <f t="shared" ca="1" si="269"/>
        <v>2.5353241807796374E-2</v>
      </c>
      <c r="DA239" s="24">
        <f t="shared" ca="1" si="270"/>
        <v>4.7889456748059812E-2</v>
      </c>
      <c r="DB239" s="24">
        <f t="shared" ca="1" si="271"/>
        <v>8.6201022146507669E-2</v>
      </c>
      <c r="DC239" s="24">
        <f t="shared" ca="1" si="272"/>
        <v>0.14366837024417944</v>
      </c>
      <c r="DD239" s="24">
        <f t="shared" ca="1" si="273"/>
        <v>0.21550255536626917</v>
      </c>
      <c r="DF239" s="19" cm="1">
        <f t="array" aca="1" ref="DF239" ca="1">MAX(_xlfn._xlws.FILTER(CQ239:DD239,CQ239:DD239&lt;BJ239))</f>
        <v>-4.7889456748059812E-2</v>
      </c>
      <c r="DG239" s="19" cm="1">
        <f t="array" aca="1" ref="DG239" ca="1">MIN(_xlfn._xlws.FILTER(CQ239:DD239,CQ239:DD239&gt;BJ239))</f>
        <v>-2.5353241807796374E-2</v>
      </c>
      <c r="DH239" s="2" cm="1">
        <f t="array" aca="1" ref="DH239" ca="1">_FV(EE239,"Fechamento anterior",TRUE)</f>
        <v>7.97</v>
      </c>
      <c r="DI239" s="36">
        <f t="shared" ca="1" si="251"/>
        <v>0.73312347191295468</v>
      </c>
      <c r="DJ239" s="18">
        <f t="shared" ca="1" si="274"/>
        <v>7.5883210297179629</v>
      </c>
      <c r="DK239" s="18">
        <f t="shared" ca="1" si="275"/>
        <v>7.7679346627918626</v>
      </c>
      <c r="DL239" s="9"/>
      <c r="DM239" s="9"/>
      <c r="DN239" s="9"/>
      <c r="DO239" s="9"/>
      <c r="DP239" s="79">
        <v>2.4180201408174142E-2</v>
      </c>
      <c r="DQ239" s="79">
        <v>6.8989665556189149E-3</v>
      </c>
      <c r="DR239" s="79">
        <v>1.3189200768094985E-2</v>
      </c>
      <c r="DS239" s="79">
        <f t="shared" ca="1" si="252"/>
        <v>2.2536214940263439E-2</v>
      </c>
      <c r="DT239" s="47"/>
      <c r="DU239" s="43">
        <f t="shared" si="253"/>
        <v>0.15370426148939409</v>
      </c>
      <c r="DV239" s="83">
        <f t="shared" ca="1" si="254"/>
        <v>1.9776</v>
      </c>
      <c r="DW239" s="83">
        <f t="shared" ca="1" si="255"/>
        <v>4.6882999999999999</v>
      </c>
      <c r="DX239" s="83">
        <f t="shared" ca="1" si="234"/>
        <v>-2.7107000000000001</v>
      </c>
      <c r="DY239" s="67"/>
      <c r="DZ239" s="67"/>
      <c r="EA239" s="85"/>
      <c r="EB239" s="44">
        <v>5833500</v>
      </c>
      <c r="EC239" s="44" cm="1">
        <f t="array" aca="1" ref="EC239" ca="1">_FV(EE239,"Volume")</f>
        <v>4250600</v>
      </c>
      <c r="EE239" s="2" t="e" vm="241">
        <v>#VALUE!</v>
      </c>
      <c r="EG239" s="10" cm="1">
        <f t="array" aca="1" ref="EG239" ca="1">_FV(EE239,"Ações em circulação",TRUE)</f>
        <v>347931500</v>
      </c>
      <c r="EH239" s="21">
        <f>VLOOKUP(BH239,Fundamentus!A:U,5,FALSE)</f>
        <v>0.16600000000000001</v>
      </c>
      <c r="EI239" s="2">
        <f t="shared" ca="1" si="256"/>
        <v>16180910722.891565</v>
      </c>
      <c r="EJ239" s="20">
        <v>256911781.21084335</v>
      </c>
      <c r="EK239" s="20">
        <f t="shared" ca="1" si="257"/>
        <v>300964939.44578308</v>
      </c>
      <c r="EM239" s="40" t="str">
        <f>IF(VLOOKUP(BH239,Fundamentus!A:U,3,FALSE)&lt;15,"Bom",IF(VLOOKUP(BH239,Fundamentus!A:U,3,FALSE)&gt;15,"Ruim","n/a"))</f>
        <v>Bom</v>
      </c>
      <c r="EN239" s="36" t="str">
        <f>IF(VLOOKUP(BH239,Fundamentus!A:U,4,FALSE)&lt;1,"Baixo",IF(VLOOKUP(BH239,Fundamentus!A:U,4,FALSE)&lt;1.5,"Moderado",IF(VLOOKUP(BH239,Fundamentus!A:U,4,FALSE)&gt;1.5,"Alto","n/a")))</f>
        <v>Baixo</v>
      </c>
      <c r="EO239" s="20" t="str">
        <f>IF(VLOOKUP(BH239,Fundamentus!A:U,8,FALSE)&lt;0,"Risco elevado",IF(VLOOKUP(BH239,Fundamentus!A:U,8,FALSE)&lt;1,"Saudável",IF(VLOOKUP(BH239,Fundamentus!A:U,8,FALSE)&lt;3,"Estável",IF(VLOOKUP(BH239,Fundamentus!A:U,8,FALSE)&gt;3,"Alerta","n/a"))))</f>
        <v>Risco elevado</v>
      </c>
      <c r="EP239" s="36" t="str">
        <f t="shared" si="258"/>
        <v>Ruim</v>
      </c>
      <c r="EQ239" s="20" t="str">
        <f>IF(VLOOKUP(BH239,Fundamentus!A:U,12,FALSE)&lt;2,"Subvalorizada",IF(VLOOKUP(BH239,Fundamentus!A:U,12,FALSE)&lt;6,"Muita barata",IF(VLOOKUP(BH239,Fundamentus!A:U,12,FALSE)&lt;6,"Barata",IF(VLOOKUP(BH239,Fundamentus!A:U,12,FALSE)&lt;8,"Atrativa",IF(VLOOKUP(BH239,Fundamentus!A:U,12,FALSE)&gt;8,"Supervalorizada","n/a")))))</f>
        <v>Muita barata</v>
      </c>
      <c r="ES239" s="20" t="str">
        <f>IF(VLOOKUP(BH239,Fundamentus!A:U,17,FALSE)&lt;0.1,"Fraco retorno",IF(VLOOKUP(BH239,Fundamentus!A:U,17,FALSE)&gt;0.1,"Bom retorno","n/a"))</f>
        <v>Bom retorno</v>
      </c>
      <c r="ET239" s="20" t="str">
        <f>IF(VLOOKUP(BH239,Fundamentus!A:U,16,FALSE)&lt;0.1,"Ineficiente",IF(VLOOKUP(BH239,Fundamentus!A:U,16,FALSE)&gt;0.1,"Eficiente","n/a"))</f>
        <v>Eficiente</v>
      </c>
      <c r="EU239" s="41" t="str">
        <f>IF(VLOOKUP(BH239,Fundamentus!A:U,16,FALSE)&lt;0.1,"Oper. Ineficiente",IF(VLOOKUP(BH239,Fundamentus!A:U,16,FALSE)&gt;0.1,"Oper.Eficiente","n/a"))</f>
        <v>Oper.Eficiente</v>
      </c>
      <c r="EV239" s="42">
        <f>VLOOKUP(BH239,Fundamentus!A:U,14,FALSE)</f>
        <v>1.8599999999999998E-2</v>
      </c>
      <c r="EW239" s="20" t="str">
        <f>IF(VLOOKUP(BH239,Fundamentus!A:U,21,FALSE)&lt;0,"Negativo",IF(VLOOKUP(BH239,Fundamentus!A:U,21,FALSE)&lt;0.05,"Fraco",IF(VLOOKUP(BH239,Fundamentus!A:U,21,FALSE)&lt;0.1,"Bom",IF(VLOOKUP(BH239,Fundamentus!A:U,21,FALSE)&gt;0.1,"Muito bom","n/a"))))</f>
        <v>Muito bom</v>
      </c>
      <c r="EY239" s="37" t="str">
        <f>IF(VLOOKUP(BH239,Fundamentus!A:U,15,FALSE)&gt;1,"Bom",IF(VLOOKUP(BH239,Fundamentus!A:U,15,FALSE)&lt;1,"Ruim","n/a"))</f>
        <v>Ruim</v>
      </c>
      <c r="EZ239" s="20" t="str">
        <f>IF(VLOOKUP(BH239,Fundamentus!A:U,20,FALSE)&lt;0.5,"Baixa",IF(VLOOKUP(BH239,Fundamentus!A:U,20,FALSE)&lt;1,"Moderada",IF(VLOOKUP(BH239,Fundamentus!A:U,20,FALSE)&lt;2,"Alerta",IF(VLOOKUP(BH239,Fundamentus!A:U,20,FALSE)&gt;2,"Alta","n/a"))))</f>
        <v>Alta</v>
      </c>
    </row>
    <row r="240" spans="1:156" s="2" customFormat="1" ht="11.25" hidden="1" x14ac:dyDescent="0.2">
      <c r="A240" s="4">
        <v>1.46</v>
      </c>
      <c r="B240" s="4">
        <v>1.28</v>
      </c>
      <c r="C240" s="4">
        <v>1.33</v>
      </c>
      <c r="D240" s="4">
        <v>1.24</v>
      </c>
      <c r="E240" s="4">
        <v>1.1599999999999999</v>
      </c>
      <c r="F240" s="4">
        <v>1.19</v>
      </c>
      <c r="G240" s="4">
        <v>1.2</v>
      </c>
      <c r="H240" s="4">
        <v>1.34</v>
      </c>
      <c r="I240" s="4">
        <v>1.52</v>
      </c>
      <c r="J240" s="4">
        <v>1.58</v>
      </c>
      <c r="K240" s="4">
        <v>1.7</v>
      </c>
      <c r="L240" s="4">
        <v>1.6</v>
      </c>
      <c r="M240" s="4">
        <v>1.42</v>
      </c>
      <c r="N240" s="4">
        <v>1.43</v>
      </c>
      <c r="O240" s="4">
        <v>1.54</v>
      </c>
      <c r="P240" s="4">
        <v>1.46</v>
      </c>
      <c r="Q240" s="4">
        <v>1.44</v>
      </c>
      <c r="R240" s="4">
        <v>1.5</v>
      </c>
      <c r="S240" s="4">
        <v>1.4</v>
      </c>
      <c r="T240" s="4">
        <v>1.32</v>
      </c>
      <c r="U240" s="4">
        <v>1.19</v>
      </c>
      <c r="V240" s="4">
        <v>1.34</v>
      </c>
      <c r="W240" s="4">
        <v>1.26</v>
      </c>
      <c r="X240" s="4">
        <v>1.24</v>
      </c>
      <c r="Y240" s="4">
        <v>1.24</v>
      </c>
      <c r="Z240" s="4">
        <v>1.21</v>
      </c>
      <c r="AA240" s="4">
        <v>1.1399999999999999</v>
      </c>
      <c r="AB240" s="4">
        <v>1.1599999999999999</v>
      </c>
      <c r="AC240" s="4">
        <v>1.1499999999999999</v>
      </c>
      <c r="AD240" s="4">
        <v>1.06</v>
      </c>
      <c r="AE240" s="4">
        <v>0.93</v>
      </c>
      <c r="AF240" s="4">
        <v>0.81</v>
      </c>
      <c r="AG240" s="4">
        <v>1</v>
      </c>
      <c r="AH240" s="4">
        <v>1.01</v>
      </c>
      <c r="AI240" s="4">
        <v>1.02</v>
      </c>
      <c r="AJ240" s="4">
        <v>0.97</v>
      </c>
      <c r="AK240" s="4">
        <v>0.96</v>
      </c>
      <c r="AL240" s="4">
        <v>1.07</v>
      </c>
      <c r="AM240" s="4">
        <v>1.23</v>
      </c>
      <c r="AN240" s="4">
        <v>1.3</v>
      </c>
      <c r="AO240" s="4">
        <v>1.6</v>
      </c>
      <c r="AP240" s="4">
        <v>0.81</v>
      </c>
      <c r="AQ240" s="4">
        <v>1.06</v>
      </c>
      <c r="AR240" s="4">
        <v>1.17</v>
      </c>
      <c r="AS240" s="4">
        <v>1.1399999999999999</v>
      </c>
      <c r="AT240" s="4">
        <v>1.02</v>
      </c>
      <c r="AU240" s="4">
        <v>1.0149999999999999</v>
      </c>
      <c r="AV240" s="4">
        <v>0.99</v>
      </c>
      <c r="AW240" s="4">
        <v>0.92</v>
      </c>
      <c r="AX240" s="4">
        <v>0.91</v>
      </c>
      <c r="AY240" s="12">
        <v>0.88</v>
      </c>
      <c r="AZ240" s="12">
        <v>0.8</v>
      </c>
      <c r="BA240" s="12">
        <v>0.75</v>
      </c>
      <c r="BB240" s="18">
        <v>0.95</v>
      </c>
      <c r="BC240" s="63">
        <v>0.92</v>
      </c>
      <c r="BD240" s="63">
        <v>0.76</v>
      </c>
      <c r="BE240" s="63">
        <v>0.71</v>
      </c>
      <c r="BF240" s="63">
        <v>0.73</v>
      </c>
      <c r="BG240" s="91" cm="1">
        <f t="array" aca="1" ref="BG240" ca="1">_FV(EE240,"Preço")</f>
        <v>0.69</v>
      </c>
      <c r="BH240" s="93" t="s">
        <v>237</v>
      </c>
      <c r="BI240" s="32" cm="1">
        <f t="array" aca="1" ref="BI240" ca="1">_FV(EE240,"Beta")</f>
        <v>1.0085</v>
      </c>
      <c r="BJ240" s="96" cm="1">
        <f t="array" aca="1" ref="BJ240" ca="1">_FV(EE240,"Variação (%)",TRUE)</f>
        <v>1.4705999999999999E-2</v>
      </c>
      <c r="BK240" s="49"/>
      <c r="BL240" s="49"/>
      <c r="BN240" s="32"/>
      <c r="BO240" s="20" cm="1">
        <f t="array" aca="1" ref="BO240" ca="1">_FV(EE240,"Baixo")</f>
        <v>0.68</v>
      </c>
      <c r="BP240" s="20" cm="1">
        <f t="array" aca="1" ref="BP240" ca="1">_FV(EE240,"Alto")</f>
        <v>0.69</v>
      </c>
      <c r="BQ240" s="32"/>
      <c r="BR240" s="74" t="e">
        <f ca="1">SQRT(22.5*(BG240/VLOOKUP(BH240,Fundamentus!A:U,3,FALSE))*(BG240/VLOOKUP(BH240,Fundamentus!A:U,4,FALSE)))</f>
        <v>#NUM!</v>
      </c>
      <c r="BT240" s="73">
        <f t="shared" ca="1" si="235"/>
        <v>-5.4794520547945258E-2</v>
      </c>
      <c r="BU240" s="36">
        <f t="shared" si="236"/>
        <v>-0.51369863013698636</v>
      </c>
      <c r="BV240" s="8"/>
      <c r="BW240" s="72">
        <f t="shared" si="237"/>
        <v>0.71</v>
      </c>
      <c r="BX240" s="72">
        <f t="shared" si="238"/>
        <v>1.1643965517241381</v>
      </c>
      <c r="BY240" s="72">
        <f t="shared" si="239"/>
        <v>1.7</v>
      </c>
      <c r="BZ240" s="17"/>
      <c r="CA240" s="17"/>
      <c r="CB240" s="43">
        <f t="shared" si="240"/>
        <v>0.46075920622136168</v>
      </c>
      <c r="CC240" s="18">
        <f t="shared" si="241"/>
        <v>0.62628865979382908</v>
      </c>
      <c r="CD240" s="43">
        <f t="shared" si="242"/>
        <v>0.79181811336629648</v>
      </c>
      <c r="CE240" s="98">
        <f t="shared" ca="1" si="243"/>
        <v>0.38489428214223265</v>
      </c>
      <c r="CF240" s="17"/>
      <c r="CG240" s="20">
        <f t="shared" si="244"/>
        <v>-0.59666666666666668</v>
      </c>
      <c r="CH240" s="20">
        <f t="shared" si="245"/>
        <v>5.6666666666666643E-2</v>
      </c>
      <c r="CI240" s="20">
        <f t="shared" si="246"/>
        <v>0.39333333333333331</v>
      </c>
      <c r="CJ240" s="49">
        <f t="shared" si="247"/>
        <v>1.0466666666666666</v>
      </c>
      <c r="CK240" s="20">
        <f t="shared" si="248"/>
        <v>1.3833333333333333</v>
      </c>
      <c r="CL240" s="20">
        <f t="shared" si="249"/>
        <v>2.0366666666666666</v>
      </c>
      <c r="CM240" s="20">
        <f t="shared" si="250"/>
        <v>2.3733333333333331</v>
      </c>
      <c r="CN240" s="2" cm="1">
        <f t="array" aca="1" ref="CN240" ca="1">MAX(_xlfn._xlws.FILTER(CG240:CM240,CG240:CM240&lt;BG240))</f>
        <v>0.39333333333333331</v>
      </c>
      <c r="CO240" s="2" cm="1">
        <f t="array" aca="1" ref="CO240" ca="1">MIN(_xlfn._xlws.FILTER($CG240:$CM240,$CG240:$CM240&gt;BG240))</f>
        <v>1.0466666666666666</v>
      </c>
      <c r="CP240" s="19">
        <f t="shared" ca="1" si="259"/>
        <v>1.6610169491525424</v>
      </c>
      <c r="CQ240" s="23">
        <f t="shared" ca="1" si="260"/>
        <v>-0.83050847457627119</v>
      </c>
      <c r="CR240" s="23">
        <f t="shared" ca="1" si="261"/>
        <v>-0.5536723163841808</v>
      </c>
      <c r="CS240" s="23">
        <f t="shared" ca="1" si="262"/>
        <v>-0.33220338983050846</v>
      </c>
      <c r="CT240" s="23">
        <f t="shared" ca="1" si="263"/>
        <v>-0.18455743879472694</v>
      </c>
      <c r="CU240" s="23">
        <f t="shared" ca="1" si="264"/>
        <v>-9.7706879361914259E-2</v>
      </c>
      <c r="CV240" s="23">
        <f t="shared" ca="1" si="265"/>
        <v>-5.0333846944016436E-2</v>
      </c>
      <c r="CW240" s="23">
        <f t="shared" ca="1" si="266"/>
        <v>-2.5554106910039114E-2</v>
      </c>
      <c r="CX240" s="24">
        <f t="shared" ca="1" si="267"/>
        <v>2.5554106910039114E-2</v>
      </c>
      <c r="CY240" s="24">
        <f t="shared" ca="1" si="268"/>
        <v>5.0333846944016436E-2</v>
      </c>
      <c r="CZ240" s="24">
        <f t="shared" ca="1" si="269"/>
        <v>9.7706879361914259E-2</v>
      </c>
      <c r="DA240" s="24">
        <f t="shared" ca="1" si="270"/>
        <v>0.18455743879472694</v>
      </c>
      <c r="DB240" s="24">
        <f t="shared" ca="1" si="271"/>
        <v>0.33220338983050846</v>
      </c>
      <c r="DC240" s="24">
        <f t="shared" ca="1" si="272"/>
        <v>0.5536723163841808</v>
      </c>
      <c r="DD240" s="24">
        <f t="shared" ca="1" si="273"/>
        <v>0.83050847457627119</v>
      </c>
      <c r="DF240" s="19" cm="1">
        <f t="array" aca="1" ref="DF240" ca="1">MAX(_xlfn._xlws.FILTER(CQ240:DD240,CQ240:DD240&lt;BJ240))</f>
        <v>-2.5554106910039114E-2</v>
      </c>
      <c r="DG240" s="19" cm="1">
        <f t="array" aca="1" ref="DG240" ca="1">MIN(_xlfn._xlws.FILTER(CQ240:DD240,CQ240:DD240&gt;BJ240))</f>
        <v>2.5554106910039114E-2</v>
      </c>
      <c r="DH240" s="2" cm="1">
        <f t="array" aca="1" ref="DH240" ca="1">_FV(EE240,"Fechamento anterior",TRUE)</f>
        <v>0.68</v>
      </c>
      <c r="DI240" s="36">
        <f t="shared" ca="1" si="251"/>
        <v>0.78774009603841177</v>
      </c>
      <c r="DJ240" s="18">
        <f t="shared" ca="1" si="274"/>
        <v>0.66262320730117341</v>
      </c>
      <c r="DK240" s="18">
        <f t="shared" ca="1" si="275"/>
        <v>0.69737679269882669</v>
      </c>
      <c r="DL240" s="9"/>
      <c r="DM240" s="9"/>
      <c r="DN240" s="9"/>
      <c r="DO240" s="9"/>
      <c r="DP240" s="79">
        <v>1.2477718360071296E-2</v>
      </c>
      <c r="DQ240" s="79">
        <v>5.9487179487179478E-2</v>
      </c>
      <c r="DR240" s="79">
        <v>2.8842268842268842E-2</v>
      </c>
      <c r="DS240" s="79">
        <f t="shared" ca="1" si="252"/>
        <v>5.1108213820078227E-2</v>
      </c>
      <c r="DT240" s="47"/>
      <c r="DU240" s="43">
        <f t="shared" si="253"/>
        <v>8.2764726786233714E-2</v>
      </c>
      <c r="DV240" s="83">
        <f t="shared" ca="1" si="254"/>
        <v>1.4345999999999999</v>
      </c>
      <c r="DW240" s="83">
        <f t="shared" ca="1" si="255"/>
        <v>-0.46209999999999996</v>
      </c>
      <c r="DX240" s="83">
        <f t="shared" ca="1" si="234"/>
        <v>1.8966999999999998</v>
      </c>
      <c r="DY240" s="67"/>
      <c r="DZ240" s="67"/>
      <c r="EA240" s="85"/>
      <c r="EB240" s="44">
        <v>3304300</v>
      </c>
      <c r="EC240" s="44" cm="1">
        <f t="array" aca="1" ref="EC240" ca="1">_FV(EE240,"Volume")</f>
        <v>1008300</v>
      </c>
      <c r="EE240" s="2" t="e" vm="242">
        <v>#VALUE!</v>
      </c>
      <c r="EG240" s="10" cm="1">
        <f t="array" aca="1" ref="EG240" ca="1">_FV(EE240,"Ações em circulação",TRUE)</f>
        <v>592753700</v>
      </c>
      <c r="EH240" s="21">
        <f>VLOOKUP(BH240,Fundamentus!A:U,5,FALSE)</f>
        <v>2.661</v>
      </c>
      <c r="EI240" s="2">
        <f t="shared" ca="1" si="256"/>
        <v>153701635.85118374</v>
      </c>
      <c r="EJ240" s="20">
        <v>-92803035.784103721</v>
      </c>
      <c r="EK240" s="20">
        <f t="shared" ca="1" si="257"/>
        <v>-263152570.74081168</v>
      </c>
      <c r="EM240" s="40" t="str">
        <f>IF(VLOOKUP(BH240,Fundamentus!A:U,3,FALSE)&lt;15,"Bom",IF(VLOOKUP(BH240,Fundamentus!A:U,3,FALSE)&gt;15,"Ruim","n/a"))</f>
        <v>Bom</v>
      </c>
      <c r="EN240" s="36" t="str">
        <f>IF(VLOOKUP(BH240,Fundamentus!A:U,4,FALSE)&lt;1,"Baixo",IF(VLOOKUP(BH240,Fundamentus!A:U,4,FALSE)&lt;1.5,"Moderado",IF(VLOOKUP(BH240,Fundamentus!A:U,4,FALSE)&gt;1.5,"Alto","n/a")))</f>
        <v>Baixo</v>
      </c>
      <c r="EO240" s="20" t="str">
        <f>IF(VLOOKUP(BH240,Fundamentus!A:U,8,FALSE)&lt;0,"Risco elevado",IF(VLOOKUP(BH240,Fundamentus!A:U,8,FALSE)&lt;1,"Saudável",IF(VLOOKUP(BH240,Fundamentus!A:U,8,FALSE)&lt;3,"Estável",IF(VLOOKUP(BH240,Fundamentus!A:U,8,FALSE)&gt;3,"Alerta","n/a"))))</f>
        <v>Risco elevado</v>
      </c>
      <c r="EP240" s="36" t="str">
        <f t="shared" si="258"/>
        <v>Bom</v>
      </c>
      <c r="EQ240" s="20" t="str">
        <f>IF(VLOOKUP(BH240,Fundamentus!A:U,12,FALSE)&lt;2,"Subvalorizada",IF(VLOOKUP(BH240,Fundamentus!A:U,12,FALSE)&lt;6,"Muita barata",IF(VLOOKUP(BH240,Fundamentus!A:U,12,FALSE)&lt;6,"Barata",IF(VLOOKUP(BH240,Fundamentus!A:U,12,FALSE)&lt;8,"Atrativa",IF(VLOOKUP(BH240,Fundamentus!A:U,12,FALSE)&gt;8,"Supervalorizada","n/a")))))</f>
        <v>Subvalorizada</v>
      </c>
      <c r="ES240" s="20" t="str">
        <f>IF(VLOOKUP(BH240,Fundamentus!A:U,17,FALSE)&lt;0.1,"Fraco retorno",IF(VLOOKUP(BH240,Fundamentus!A:U,17,FALSE)&gt;0.1,"Bom retorno","n/a"))</f>
        <v>Fraco retorno</v>
      </c>
      <c r="ET240" s="20" t="str">
        <f>IF(VLOOKUP(BH240,Fundamentus!A:U,16,FALSE)&lt;0.1,"Ineficiente",IF(VLOOKUP(BH240,Fundamentus!A:U,16,FALSE)&gt;0.1,"Eficiente","n/a"))</f>
        <v>Ineficiente</v>
      </c>
      <c r="EU240" s="41" t="str">
        <f>IF(VLOOKUP(BH240,Fundamentus!A:U,16,FALSE)&lt;0.1,"Oper. Ineficiente",IF(VLOOKUP(BH240,Fundamentus!A:U,16,FALSE)&gt;0.1,"Oper.Eficiente","n/a"))</f>
        <v>Oper. Ineficiente</v>
      </c>
      <c r="EV240" s="42">
        <f>VLOOKUP(BH240,Fundamentus!A:U,14,FALSE)</f>
        <v>-1.7121</v>
      </c>
      <c r="EW240" s="20" t="str">
        <f>IF(VLOOKUP(BH240,Fundamentus!A:U,21,FALSE)&lt;0,"Negativo",IF(VLOOKUP(BH240,Fundamentus!A:U,21,FALSE)&lt;0.05,"Fraco",IF(VLOOKUP(BH240,Fundamentus!A:U,21,FALSE)&lt;0.1,"Bom",IF(VLOOKUP(BH240,Fundamentus!A:U,21,FALSE)&gt;0.1,"Muito bom","n/a"))))</f>
        <v>Muito bom</v>
      </c>
      <c r="EY240" s="37" t="str">
        <f>IF(VLOOKUP(BH240,Fundamentus!A:U,15,FALSE)&gt;1,"Bom",IF(VLOOKUP(BH240,Fundamentus!A:U,15,FALSE)&lt;1,"Ruim","n/a"))</f>
        <v>Ruim</v>
      </c>
      <c r="EZ240" s="20" t="str">
        <f>IF(VLOOKUP(BH240,Fundamentus!A:U,20,FALSE)&lt;0.5,"Baixa",IF(VLOOKUP(BH240,Fundamentus!A:U,20,FALSE)&lt;1,"Moderada",IF(VLOOKUP(BH240,Fundamentus!A:U,20,FALSE)&lt;2,"Alerta",IF(VLOOKUP(BH240,Fundamentus!A:U,20,FALSE)&gt;2,"Alta","n/a"))))</f>
        <v>Baixa</v>
      </c>
    </row>
    <row r="241" spans="1:156" s="2" customFormat="1" ht="11.25" hidden="1" x14ac:dyDescent="0.2">
      <c r="A241" s="4">
        <v>14.25</v>
      </c>
      <c r="B241" s="4">
        <v>13.88</v>
      </c>
      <c r="C241" s="4">
        <v>13.4</v>
      </c>
      <c r="D241" s="4">
        <v>13.44</v>
      </c>
      <c r="E241" s="4">
        <v>13.1</v>
      </c>
      <c r="F241" s="4">
        <v>12.44</v>
      </c>
      <c r="G241" s="4">
        <v>12.03</v>
      </c>
      <c r="H241" s="4">
        <v>12.65</v>
      </c>
      <c r="I241" s="4">
        <v>12.83</v>
      </c>
      <c r="J241" s="4">
        <v>13.02</v>
      </c>
      <c r="K241" s="4">
        <v>13.35</v>
      </c>
      <c r="L241" s="4">
        <v>12.64</v>
      </c>
      <c r="M241" s="4">
        <v>12.03</v>
      </c>
      <c r="N241" s="4">
        <v>11.35</v>
      </c>
      <c r="O241" s="4">
        <v>11.69</v>
      </c>
      <c r="P241" s="4">
        <v>11.34</v>
      </c>
      <c r="Q241" s="4">
        <v>12.25</v>
      </c>
      <c r="R241" s="4">
        <v>11.86</v>
      </c>
      <c r="S241" s="4">
        <v>11.6</v>
      </c>
      <c r="T241" s="4">
        <v>11.9</v>
      </c>
      <c r="U241" s="4">
        <v>11.13</v>
      </c>
      <c r="V241" s="4">
        <v>13.25</v>
      </c>
      <c r="W241" s="4">
        <v>12.64</v>
      </c>
      <c r="X241" s="4">
        <v>11.87</v>
      </c>
      <c r="Y241" s="4">
        <v>11.48</v>
      </c>
      <c r="Z241" s="4">
        <v>11.8</v>
      </c>
      <c r="AA241" s="4">
        <v>11.65</v>
      </c>
      <c r="AB241" s="4">
        <v>11.76</v>
      </c>
      <c r="AC241" s="4">
        <v>10.64</v>
      </c>
      <c r="AD241" s="4">
        <v>11.11</v>
      </c>
      <c r="AE241" s="4">
        <v>11.11</v>
      </c>
      <c r="AF241" s="4">
        <v>11.16</v>
      </c>
      <c r="AG241" s="4">
        <v>10.69</v>
      </c>
      <c r="AH241" s="4">
        <v>8.86</v>
      </c>
      <c r="AI241" s="4">
        <v>8.68</v>
      </c>
      <c r="AJ241" s="4">
        <v>8.2100000000000009</v>
      </c>
      <c r="AK241" s="4">
        <v>7.73</v>
      </c>
      <c r="AL241" s="4">
        <v>8.1300000000000008</v>
      </c>
      <c r="AM241" s="4">
        <v>8.26</v>
      </c>
      <c r="AN241" s="4">
        <v>9.09</v>
      </c>
      <c r="AO241" s="4">
        <v>8.94</v>
      </c>
      <c r="AP241" s="4">
        <v>8.74</v>
      </c>
      <c r="AQ241" s="4">
        <v>8.6999999999999993</v>
      </c>
      <c r="AR241" s="4">
        <v>8.52</v>
      </c>
      <c r="AS241" s="4">
        <v>8.8000000000000007</v>
      </c>
      <c r="AT241" s="4">
        <v>10.220000000000001</v>
      </c>
      <c r="AU241" s="4">
        <v>10.055</v>
      </c>
      <c r="AV241" s="4">
        <v>9.74</v>
      </c>
      <c r="AW241" s="4">
        <v>8.23</v>
      </c>
      <c r="AX241" s="4">
        <v>8.6300000000000008</v>
      </c>
      <c r="AY241" s="12">
        <v>8.68</v>
      </c>
      <c r="AZ241" s="12">
        <v>9.39</v>
      </c>
      <c r="BA241" s="12">
        <v>9.3000000000000007</v>
      </c>
      <c r="BB241" s="18">
        <v>9.6300000000000008</v>
      </c>
      <c r="BC241" s="63">
        <v>9.27</v>
      </c>
      <c r="BD241" s="63">
        <v>8.84</v>
      </c>
      <c r="BE241" s="63">
        <v>8.25</v>
      </c>
      <c r="BF241" s="63">
        <v>8.23</v>
      </c>
      <c r="BG241" s="91" cm="1">
        <f t="array" aca="1" ref="BG241" ca="1">_FV(EE241,"Preço")</f>
        <v>7.94</v>
      </c>
      <c r="BH241" s="93" t="s">
        <v>238</v>
      </c>
      <c r="BI241" s="32" cm="1">
        <f t="array" aca="1" ref="BI241" ca="1">_FV(EE241,"Beta")</f>
        <v>1.4473</v>
      </c>
      <c r="BJ241" s="96" cm="1">
        <f t="array" aca="1" ref="BJ241" ca="1">_FV(EE241,"Variação (%)",TRUE)</f>
        <v>-4.2220000000000008E-2</v>
      </c>
      <c r="BK241" s="49"/>
      <c r="BL241" s="49"/>
      <c r="BN241" s="32"/>
      <c r="BO241" s="20" cm="1">
        <f t="array" aca="1" ref="BO241" ca="1">_FV(EE241,"Baixo")</f>
        <v>7.94</v>
      </c>
      <c r="BP241" s="20" cm="1">
        <f t="array" aca="1" ref="BP241" ca="1">_FV(EE241,"Alto")</f>
        <v>8.26</v>
      </c>
      <c r="BQ241" s="32"/>
      <c r="BR241" s="74" t="e">
        <f ca="1">SQRT(22.5*(BG241/VLOOKUP(BH241,Fundamentus!A:U,3,FALSE))*(BG241/VLOOKUP(BH241,Fundamentus!A:U,4,FALSE)))</f>
        <v>#NUM!</v>
      </c>
      <c r="BT241" s="73">
        <f t="shared" ca="1" si="235"/>
        <v>-3.5236938031591739E-2</v>
      </c>
      <c r="BU241" s="36">
        <f t="shared" si="236"/>
        <v>-0.42105263157894735</v>
      </c>
      <c r="BV241" s="8"/>
      <c r="BW241" s="72">
        <f t="shared" si="237"/>
        <v>7.73</v>
      </c>
      <c r="BX241" s="72">
        <f t="shared" si="238"/>
        <v>10.73215517241379</v>
      </c>
      <c r="BY241" s="72">
        <f t="shared" si="239"/>
        <v>14.25</v>
      </c>
      <c r="BZ241" s="17"/>
      <c r="CA241" s="17"/>
      <c r="CB241" s="43">
        <f t="shared" si="240"/>
        <v>6.8720481073912083</v>
      </c>
      <c r="CC241" s="18">
        <f t="shared" si="241"/>
        <v>7.742033739456474</v>
      </c>
      <c r="CD241" s="43">
        <f t="shared" si="242"/>
        <v>8.6120193715217397</v>
      </c>
      <c r="CE241" s="98">
        <f t="shared" ca="1" si="243"/>
        <v>0.22755118388975315</v>
      </c>
      <c r="CF241" s="17"/>
      <c r="CG241" s="20">
        <f t="shared" si="244"/>
        <v>-0.62999999999999901</v>
      </c>
      <c r="CH241" s="20">
        <f t="shared" si="245"/>
        <v>3.5500000000000007</v>
      </c>
      <c r="CI241" s="20">
        <f t="shared" si="246"/>
        <v>5.8900000000000006</v>
      </c>
      <c r="CJ241" s="49">
        <f t="shared" si="247"/>
        <v>10.07</v>
      </c>
      <c r="CK241" s="20">
        <f t="shared" si="248"/>
        <v>12.41</v>
      </c>
      <c r="CL241" s="20">
        <f t="shared" si="249"/>
        <v>16.59</v>
      </c>
      <c r="CM241" s="20">
        <f t="shared" si="250"/>
        <v>18.93</v>
      </c>
      <c r="CN241" s="2" cm="1">
        <f t="array" aca="1" ref="CN241" ca="1">MAX(_xlfn._xlws.FILTER(CG241:CM241,CG241:CM241&lt;BG241))</f>
        <v>5.8900000000000006</v>
      </c>
      <c r="CO241" s="2" cm="1">
        <f t="array" aca="1" ref="CO241" ca="1">MIN(_xlfn._xlws.FILTER($CG241:$CM241,$CG241:$CM241&gt;BG241))</f>
        <v>10.07</v>
      </c>
      <c r="CP241" s="19">
        <f t="shared" ca="1" si="259"/>
        <v>0.70967741935483852</v>
      </c>
      <c r="CQ241" s="23">
        <f t="shared" ca="1" si="260"/>
        <v>-0.35483870967741926</v>
      </c>
      <c r="CR241" s="23">
        <f t="shared" ca="1" si="261"/>
        <v>-0.23655913978494617</v>
      </c>
      <c r="CS241" s="23">
        <f t="shared" ca="1" si="262"/>
        <v>-0.14193548387096772</v>
      </c>
      <c r="CT241" s="23">
        <f t="shared" ca="1" si="263"/>
        <v>-7.885304659498206E-2</v>
      </c>
      <c r="CU241" s="23">
        <f t="shared" ca="1" si="264"/>
        <v>-4.1745730550284618E-2</v>
      </c>
      <c r="CV241" s="23">
        <f t="shared" ca="1" si="265"/>
        <v>-2.1505376344086016E-2</v>
      </c>
      <c r="CW241" s="23">
        <f t="shared" ca="1" si="266"/>
        <v>-1.0918114143920592E-2</v>
      </c>
      <c r="CX241" s="24">
        <f t="shared" ca="1" si="267"/>
        <v>1.0918114143920592E-2</v>
      </c>
      <c r="CY241" s="24">
        <f t="shared" ca="1" si="268"/>
        <v>2.1505376344086016E-2</v>
      </c>
      <c r="CZ241" s="24">
        <f t="shared" ca="1" si="269"/>
        <v>4.1745730550284618E-2</v>
      </c>
      <c r="DA241" s="24">
        <f t="shared" ca="1" si="270"/>
        <v>7.885304659498206E-2</v>
      </c>
      <c r="DB241" s="24">
        <f t="shared" ca="1" si="271"/>
        <v>0.14193548387096772</v>
      </c>
      <c r="DC241" s="24">
        <f t="shared" ca="1" si="272"/>
        <v>0.23655913978494617</v>
      </c>
      <c r="DD241" s="24">
        <f t="shared" ca="1" si="273"/>
        <v>0.35483870967741926</v>
      </c>
      <c r="DF241" s="19" cm="1">
        <f t="array" aca="1" ref="DF241" ca="1">MAX(_xlfn._xlws.FILTER(CQ241:DD241,CQ241:DD241&lt;BJ241))</f>
        <v>-7.885304659498206E-2</v>
      </c>
      <c r="DG241" s="19" cm="1">
        <f t="array" aca="1" ref="DG241" ca="1">MIN(_xlfn._xlws.FILTER(CQ241:DD241,CQ241:DD241&gt;BJ241))</f>
        <v>-4.1745730550284618E-2</v>
      </c>
      <c r="DH241" s="2" cm="1">
        <f t="array" aca="1" ref="DH241" ca="1">_FV(EE241,"Fechamento anterior",TRUE)</f>
        <v>8.2899999999999991</v>
      </c>
      <c r="DI241" s="36">
        <f t="shared" ca="1" si="251"/>
        <v>0.98723133018971676</v>
      </c>
      <c r="DJ241" s="18">
        <f t="shared" ca="1" si="274"/>
        <v>7.6363082437275978</v>
      </c>
      <c r="DK241" s="18">
        <f t="shared" ca="1" si="275"/>
        <v>7.9439278937381399</v>
      </c>
      <c r="DL241" s="9"/>
      <c r="DM241" s="9"/>
      <c r="DN241" s="9"/>
      <c r="DO241" s="9"/>
      <c r="DP241" s="79">
        <v>2.4069032347376673E-2</v>
      </c>
      <c r="DQ241" s="79">
        <v>2.2309976507372316E-2</v>
      </c>
      <c r="DR241" s="79">
        <v>2.4069032347376673E-2</v>
      </c>
      <c r="DS241" s="79">
        <f t="shared" ca="1" si="252"/>
        <v>3.7107316044697441E-2</v>
      </c>
      <c r="DT241" s="47"/>
      <c r="DU241" s="43">
        <f t="shared" si="253"/>
        <v>0.43499281603263262</v>
      </c>
      <c r="DV241" s="83">
        <f t="shared" ca="1" si="254"/>
        <v>1.8734</v>
      </c>
      <c r="DW241" s="83">
        <f t="shared" ca="1" si="255"/>
        <v>5.6693000000000007</v>
      </c>
      <c r="DX241" s="83">
        <f t="shared" ca="1" si="234"/>
        <v>-3.7959000000000005</v>
      </c>
      <c r="DY241" s="67"/>
      <c r="DZ241" s="67"/>
      <c r="EA241" s="85"/>
      <c r="EB241" s="44">
        <v>9010500</v>
      </c>
      <c r="EC241" s="44" cm="1">
        <f t="array" aca="1" ref="EC241" ca="1">_FV(EE241,"Volume")</f>
        <v>11598100</v>
      </c>
      <c r="EE241" s="2" t="e" vm="243">
        <v>#VALUE!</v>
      </c>
      <c r="EG241" s="10" cm="1">
        <f t="array" aca="1" ref="EG241" ca="1">_FV(EE241,"Ações em circulação",TRUE)</f>
        <v>1326094000</v>
      </c>
      <c r="EH241" s="21">
        <f>VLOOKUP(BH241,Fundamentus!A:U,5,FALSE)</f>
        <v>0.24399999999999999</v>
      </c>
      <c r="EI241" s="2">
        <f t="shared" ca="1" si="256"/>
        <v>43152403114.754097</v>
      </c>
      <c r="EJ241" s="20">
        <v>-1784667087.8606558</v>
      </c>
      <c r="EK241" s="20">
        <f t="shared" ca="1" si="257"/>
        <v>-1721780884.2786884</v>
      </c>
      <c r="EM241" s="40" t="str">
        <f>IF(VLOOKUP(BH241,Fundamentus!A:U,3,FALSE)&lt;15,"Bom",IF(VLOOKUP(BH241,Fundamentus!A:U,3,FALSE)&gt;15,"Ruim","n/a"))</f>
        <v>Bom</v>
      </c>
      <c r="EN241" s="36" t="str">
        <f>IF(VLOOKUP(BH241,Fundamentus!A:U,4,FALSE)&lt;1,"Baixo",IF(VLOOKUP(BH241,Fundamentus!A:U,4,FALSE)&lt;1.5,"Moderado",IF(VLOOKUP(BH241,Fundamentus!A:U,4,FALSE)&gt;1.5,"Alto","n/a")))</f>
        <v>Baixo</v>
      </c>
      <c r="EO241" s="20" t="str">
        <f>IF(VLOOKUP(BH241,Fundamentus!A:U,8,FALSE)&lt;0,"Risco elevado",IF(VLOOKUP(BH241,Fundamentus!A:U,8,FALSE)&lt;1,"Saudável",IF(VLOOKUP(BH241,Fundamentus!A:U,8,FALSE)&lt;3,"Estável",IF(VLOOKUP(BH241,Fundamentus!A:U,8,FALSE)&gt;3,"Alerta","n/a"))))</f>
        <v>Saudável</v>
      </c>
      <c r="EP241" s="36" t="str">
        <f t="shared" si="258"/>
        <v>Ruim</v>
      </c>
      <c r="EQ241" s="20" t="str">
        <f>IF(VLOOKUP(BH241,Fundamentus!A:U,12,FALSE)&lt;2,"Subvalorizada",IF(VLOOKUP(BH241,Fundamentus!A:U,12,FALSE)&lt;6,"Muita barata",IF(VLOOKUP(BH241,Fundamentus!A:U,12,FALSE)&lt;6,"Barata",IF(VLOOKUP(BH241,Fundamentus!A:U,12,FALSE)&lt;8,"Atrativa",IF(VLOOKUP(BH241,Fundamentus!A:U,12,FALSE)&gt;8,"Supervalorizada","n/a")))))</f>
        <v>Muita barata</v>
      </c>
      <c r="ES241" s="20" t="str">
        <f>IF(VLOOKUP(BH241,Fundamentus!A:U,17,FALSE)&lt;0.1,"Fraco retorno",IF(VLOOKUP(BH241,Fundamentus!A:U,17,FALSE)&gt;0.1,"Bom retorno","n/a"))</f>
        <v>Fraco retorno</v>
      </c>
      <c r="ET241" s="20" t="str">
        <f>IF(VLOOKUP(BH241,Fundamentus!A:U,16,FALSE)&lt;0.1,"Ineficiente",IF(VLOOKUP(BH241,Fundamentus!A:U,16,FALSE)&gt;0.1,"Eficiente","n/a"))</f>
        <v>Ineficiente</v>
      </c>
      <c r="EU241" s="41" t="str">
        <f>IF(VLOOKUP(BH241,Fundamentus!A:U,16,FALSE)&lt;0.1,"Oper. Ineficiente",IF(VLOOKUP(BH241,Fundamentus!A:U,16,FALSE)&gt;0.1,"Oper.Eficiente","n/a"))</f>
        <v>Oper. Ineficiente</v>
      </c>
      <c r="EV241" s="42">
        <f>VLOOKUP(BH241,Fundamentus!A:U,14,FALSE)</f>
        <v>-3.9899999999999998E-2</v>
      </c>
      <c r="EW241" s="20" t="str">
        <f>IF(VLOOKUP(BH241,Fundamentus!A:U,21,FALSE)&lt;0,"Negativo",IF(VLOOKUP(BH241,Fundamentus!A:U,21,FALSE)&lt;0.05,"Fraco",IF(VLOOKUP(BH241,Fundamentus!A:U,21,FALSE)&lt;0.1,"Bom",IF(VLOOKUP(BH241,Fundamentus!A:U,21,FALSE)&gt;0.1,"Muito bom","n/a"))))</f>
        <v>Fraco</v>
      </c>
      <c r="EY241" s="37" t="str">
        <f>IF(VLOOKUP(BH241,Fundamentus!A:U,15,FALSE)&gt;1,"Bom",IF(VLOOKUP(BH241,Fundamentus!A:U,15,FALSE)&lt;1,"Ruim","n/a"))</f>
        <v>Bom</v>
      </c>
      <c r="EZ241" s="20" t="str">
        <f>IF(VLOOKUP(BH241,Fundamentus!A:U,20,FALSE)&lt;0.5,"Baixa",IF(VLOOKUP(BH241,Fundamentus!A:U,20,FALSE)&lt;1,"Moderada",IF(VLOOKUP(BH241,Fundamentus!A:U,20,FALSE)&lt;2,"Alerta",IF(VLOOKUP(BH241,Fundamentus!A:U,20,FALSE)&gt;2,"Alta","n/a"))))</f>
        <v>Alta</v>
      </c>
    </row>
    <row r="242" spans="1:156" s="2" customFormat="1" ht="11.25" hidden="1" x14ac:dyDescent="0.2">
      <c r="A242" s="4">
        <v>1.1100000000000001</v>
      </c>
      <c r="B242" s="4">
        <v>1.06</v>
      </c>
      <c r="C242" s="4">
        <v>0.92</v>
      </c>
      <c r="D242" s="4">
        <v>0.91</v>
      </c>
      <c r="E242" s="4">
        <v>0.85</v>
      </c>
      <c r="F242" s="4">
        <v>0.87</v>
      </c>
      <c r="G242" s="4">
        <v>0.77</v>
      </c>
      <c r="H242" s="4">
        <v>0.74</v>
      </c>
      <c r="I242" s="4">
        <v>0.62</v>
      </c>
      <c r="J242" s="4">
        <v>0.7</v>
      </c>
      <c r="K242" s="4">
        <v>0.75</v>
      </c>
      <c r="L242" s="4">
        <v>0.95</v>
      </c>
      <c r="M242" s="4">
        <v>1.1000000000000001</v>
      </c>
      <c r="N242" s="4">
        <v>0.9</v>
      </c>
      <c r="O242" s="4">
        <v>0.9</v>
      </c>
      <c r="P242" s="4">
        <v>0.86</v>
      </c>
      <c r="Q242" s="4">
        <v>0.86</v>
      </c>
      <c r="R242" s="4">
        <v>0.86</v>
      </c>
      <c r="S242" s="4">
        <v>0.86</v>
      </c>
      <c r="T242" s="4">
        <v>0.86</v>
      </c>
      <c r="U242" s="4">
        <v>0.86</v>
      </c>
      <c r="V242" s="4">
        <v>0.86</v>
      </c>
      <c r="W242" s="4">
        <v>0.86</v>
      </c>
      <c r="X242" s="4">
        <v>0.86</v>
      </c>
      <c r="Y242" s="4">
        <v>0.86</v>
      </c>
      <c r="Z242" s="4">
        <v>0.86</v>
      </c>
      <c r="AA242" s="4">
        <v>0.86</v>
      </c>
      <c r="AB242" s="4">
        <v>0.86</v>
      </c>
      <c r="AC242" s="4">
        <v>0.86</v>
      </c>
      <c r="AD242" s="4">
        <v>0.86</v>
      </c>
      <c r="AE242" s="4">
        <v>0.86</v>
      </c>
      <c r="AF242" s="4">
        <v>0.86</v>
      </c>
      <c r="AG242" s="4">
        <v>0.86</v>
      </c>
      <c r="AH242" s="4">
        <v>0.86</v>
      </c>
      <c r="AI242" s="4">
        <v>0.86</v>
      </c>
      <c r="AJ242" s="4">
        <v>0.86</v>
      </c>
      <c r="AK242" s="4">
        <v>0.86</v>
      </c>
      <c r="AL242" s="4">
        <v>0.86</v>
      </c>
      <c r="AM242" s="4">
        <v>0.86</v>
      </c>
      <c r="AN242" s="4">
        <v>0.86</v>
      </c>
      <c r="AO242" s="4">
        <v>0.86</v>
      </c>
      <c r="AP242" s="4">
        <v>0.86</v>
      </c>
      <c r="AQ242" s="4">
        <v>0.86</v>
      </c>
      <c r="AR242" s="4">
        <v>0.86</v>
      </c>
      <c r="AS242" s="4">
        <v>0.86</v>
      </c>
      <c r="AT242" s="4">
        <v>0.86</v>
      </c>
      <c r="AU242" s="4">
        <v>0.86</v>
      </c>
      <c r="AV242" s="4">
        <v>0.86</v>
      </c>
      <c r="AW242" s="4">
        <v>0.86</v>
      </c>
      <c r="AX242" s="4">
        <v>0.86</v>
      </c>
      <c r="AY242" s="12">
        <v>0.86</v>
      </c>
      <c r="AZ242" s="12">
        <v>0.86</v>
      </c>
      <c r="BA242" s="12">
        <v>0.86</v>
      </c>
      <c r="BB242" s="18">
        <v>0.86</v>
      </c>
      <c r="BC242" s="63">
        <v>0.86</v>
      </c>
      <c r="BD242" s="63">
        <v>0.86</v>
      </c>
      <c r="BE242" s="63">
        <v>0.86</v>
      </c>
      <c r="BF242" s="63">
        <v>0.86</v>
      </c>
      <c r="BG242" s="91" cm="1">
        <f t="array" aca="1" ref="BG242" ca="1">_FV(EE242,"Preço")</f>
        <v>0.86</v>
      </c>
      <c r="BH242" s="93" t="s">
        <v>239</v>
      </c>
      <c r="BI242" s="32" cm="1">
        <f t="array" aca="1" ref="BI242" ca="1">_FV(EE242,"Beta")</f>
        <v>1.1884999999999999</v>
      </c>
      <c r="BJ242" s="96" cm="1">
        <f t="array" aca="1" ref="BJ242" ca="1">_FV(EE242,"Variação (%)",TRUE)</f>
        <v>-2.2727000000000001E-2</v>
      </c>
      <c r="BK242" s="49"/>
      <c r="BL242" s="49"/>
      <c r="BN242" s="32"/>
      <c r="BO242" s="20" cm="1">
        <f t="array" aca="1" ref="BO242" ca="1">_FV(EE242,"Baixo")</f>
        <v>0.86</v>
      </c>
      <c r="BP242" s="20" cm="1">
        <f t="array" aca="1" ref="BP242" ca="1">_FV(EE242,"Alto")</f>
        <v>0.86</v>
      </c>
      <c r="BQ242" s="32"/>
      <c r="BR242" s="74" t="e">
        <f ca="1">SQRT(22.5*(BG242/VLOOKUP(BH242,Fundamentus!A:U,3,FALSE))*(BG242/VLOOKUP(BH242,Fundamentus!A:U,4,FALSE)))</f>
        <v>#N/A</v>
      </c>
      <c r="BT242" s="73">
        <f t="shared" ca="1" si="235"/>
        <v>0</v>
      </c>
      <c r="BU242" s="36">
        <f t="shared" si="236"/>
        <v>-0.22522522522522531</v>
      </c>
      <c r="BV242" s="8"/>
      <c r="BW242" s="72">
        <f t="shared" si="237"/>
        <v>0.62</v>
      </c>
      <c r="BX242" s="72">
        <f t="shared" si="238"/>
        <v>0.86431034482758584</v>
      </c>
      <c r="BY242" s="72">
        <f t="shared" si="239"/>
        <v>1.1100000000000001</v>
      </c>
      <c r="BZ242" s="17"/>
      <c r="CA242" s="17"/>
      <c r="CB242" s="43">
        <f t="shared" si="240"/>
        <v>0.86</v>
      </c>
      <c r="CC242" s="18">
        <f t="shared" si="241"/>
        <v>0.86</v>
      </c>
      <c r="CD242" s="43">
        <f t="shared" si="242"/>
        <v>0.86</v>
      </c>
      <c r="CE242" s="98" t="e">
        <f t="shared" ca="1" si="243"/>
        <v>#DIV/0!</v>
      </c>
      <c r="CF242" s="17"/>
      <c r="CG242" s="20">
        <f t="shared" si="244"/>
        <v>0.12666666666666637</v>
      </c>
      <c r="CH242" s="20">
        <f t="shared" si="245"/>
        <v>0.37333333333333318</v>
      </c>
      <c r="CI242" s="20">
        <f t="shared" si="246"/>
        <v>0.61666666666666647</v>
      </c>
      <c r="CJ242" s="49">
        <f t="shared" si="247"/>
        <v>0.86333333333333329</v>
      </c>
      <c r="CK242" s="20">
        <f t="shared" si="248"/>
        <v>1.1066666666666665</v>
      </c>
      <c r="CL242" s="20">
        <f t="shared" si="249"/>
        <v>1.3533333333333335</v>
      </c>
      <c r="CM242" s="20">
        <f t="shared" si="250"/>
        <v>1.5966666666666667</v>
      </c>
      <c r="CN242" s="2" cm="1">
        <f t="array" aca="1" ref="CN242" ca="1">MAX(_xlfn._xlws.FILTER(CG242:CM242,CG242:CM242&lt;BG242))</f>
        <v>0.61666666666666647</v>
      </c>
      <c r="CO242" s="2" cm="1">
        <f t="array" aca="1" ref="CO242" ca="1">MIN(_xlfn._xlws.FILTER($CG242:$CM242,$CG242:$CM242&gt;BG242))</f>
        <v>0.86333333333333329</v>
      </c>
      <c r="CP242" s="19">
        <f t="shared" ca="1" si="259"/>
        <v>0.40000000000000036</v>
      </c>
      <c r="CQ242" s="23">
        <f t="shared" ca="1" si="260"/>
        <v>-0.20000000000000018</v>
      </c>
      <c r="CR242" s="23">
        <f t="shared" ca="1" si="261"/>
        <v>-0.13333333333333344</v>
      </c>
      <c r="CS242" s="23">
        <f t="shared" ca="1" si="262"/>
        <v>-8.0000000000000071E-2</v>
      </c>
      <c r="CT242" s="23">
        <f t="shared" ca="1" si="263"/>
        <v>-4.4444444444444481E-2</v>
      </c>
      <c r="CU242" s="23">
        <f t="shared" ca="1" si="264"/>
        <v>-2.3529411764705903E-2</v>
      </c>
      <c r="CV242" s="23">
        <f t="shared" ca="1" si="265"/>
        <v>-1.2121212121212132E-2</v>
      </c>
      <c r="CW242" s="23">
        <f t="shared" ca="1" si="266"/>
        <v>-6.153846153846159E-3</v>
      </c>
      <c r="CX242" s="24">
        <f t="shared" ca="1" si="267"/>
        <v>6.153846153846159E-3</v>
      </c>
      <c r="CY242" s="24">
        <f t="shared" ca="1" si="268"/>
        <v>1.2121212121212132E-2</v>
      </c>
      <c r="CZ242" s="24">
        <f t="shared" ca="1" si="269"/>
        <v>2.3529411764705903E-2</v>
      </c>
      <c r="DA242" s="24">
        <f t="shared" ca="1" si="270"/>
        <v>4.4444444444444481E-2</v>
      </c>
      <c r="DB242" s="24">
        <f t="shared" ca="1" si="271"/>
        <v>8.0000000000000071E-2</v>
      </c>
      <c r="DC242" s="24">
        <f t="shared" ca="1" si="272"/>
        <v>0.13333333333333344</v>
      </c>
      <c r="DD242" s="24">
        <f t="shared" ca="1" si="273"/>
        <v>0.20000000000000018</v>
      </c>
      <c r="DF242" s="19" cm="1">
        <f t="array" aca="1" ref="DF242" ca="1">MAX(_xlfn._xlws.FILTER(CQ242:DD242,CQ242:DD242&lt;BJ242))</f>
        <v>-2.3529411764705903E-2</v>
      </c>
      <c r="DG242" s="19" cm="1">
        <f t="array" aca="1" ref="DG242" ca="1">MIN(_xlfn._xlws.FILTER(CQ242:DD242,CQ242:DD242&gt;BJ242))</f>
        <v>-1.2121212121212132E-2</v>
      </c>
      <c r="DH242" s="2" cm="1">
        <f t="array" aca="1" ref="DH242" ca="1">_FV(EE242,"Fechamento anterior",TRUE)</f>
        <v>0.88</v>
      </c>
      <c r="DI242" s="36">
        <f t="shared" ca="1" si="251"/>
        <v>7.0312500000004496E-2</v>
      </c>
      <c r="DJ242" s="18">
        <f t="shared" ca="1" si="274"/>
        <v>0.85929411764705876</v>
      </c>
      <c r="DK242" s="18">
        <f t="shared" ca="1" si="275"/>
        <v>0.86933333333333329</v>
      </c>
      <c r="DL242" s="9"/>
      <c r="DM242" s="9"/>
      <c r="DN242" s="9"/>
      <c r="DO242" s="9"/>
      <c r="DP242" s="79">
        <v>1.0902517035182876E-2</v>
      </c>
      <c r="DQ242" s="79">
        <v>1.0902517035182876E-2</v>
      </c>
      <c r="DR242" s="79">
        <v>1.0902517035182876E-2</v>
      </c>
      <c r="DS242" s="79">
        <f t="shared" ca="1" si="252"/>
        <v>1.1408199643493771E-2</v>
      </c>
      <c r="DT242" s="47"/>
      <c r="DU242" s="43">
        <f t="shared" si="253"/>
        <v>0</v>
      </c>
      <c r="DV242" s="83">
        <f t="shared" ca="1" si="254"/>
        <v>1.6145999999999998</v>
      </c>
      <c r="DW242" s="83">
        <f t="shared" ca="1" si="255"/>
        <v>3.4611999999999998</v>
      </c>
      <c r="DX242" s="83">
        <f t="shared" ca="1" si="234"/>
        <v>-1.8466</v>
      </c>
      <c r="DY242" s="67"/>
      <c r="DZ242" s="67"/>
      <c r="EA242" s="85"/>
      <c r="EB242" s="44">
        <v>5000</v>
      </c>
      <c r="EC242" s="44" cm="1">
        <f t="array" aca="1" ref="EC242" ca="1">_FV(EE242,"Volume")</f>
        <v>5000</v>
      </c>
      <c r="EE242" s="2" t="e" vm="244">
        <v>#VALUE!</v>
      </c>
      <c r="EG242" s="10" cm="1">
        <f t="array" aca="1" ref="EG242" ca="1">_FV(EE242,"Ações em circulação",TRUE)</f>
        <v>30636460</v>
      </c>
      <c r="EH242" s="21" t="e">
        <f>VLOOKUP(BH242,Fundamentus!A:U,5,FALSE)</f>
        <v>#N/A</v>
      </c>
      <c r="EI242" s="2" t="e">
        <f t="shared" ca="1" si="256"/>
        <v>#N/A</v>
      </c>
      <c r="EJ242" s="20" t="e">
        <v>#N/A</v>
      </c>
      <c r="EK242" s="20" t="e">
        <f t="shared" ca="1" si="257"/>
        <v>#N/A</v>
      </c>
      <c r="EM242" s="40" t="e">
        <f>IF(VLOOKUP(BH242,Fundamentus!A:U,3,FALSE)&lt;15,"Bom",IF(VLOOKUP(BH242,Fundamentus!A:U,3,FALSE)&gt;15,"Ruim","n/a"))</f>
        <v>#N/A</v>
      </c>
      <c r="EN242" s="36" t="e">
        <f>IF(VLOOKUP(BH242,Fundamentus!A:U,4,FALSE)&lt;1,"Baixo",IF(VLOOKUP(BH242,Fundamentus!A:U,4,FALSE)&lt;1.5,"Moderado",IF(VLOOKUP(BH242,Fundamentus!A:U,4,FALSE)&gt;1.5,"Alto","n/a")))</f>
        <v>#N/A</v>
      </c>
      <c r="EO242" s="20" t="e">
        <f>IF(VLOOKUP(BH242,Fundamentus!A:U,8,FALSE)&lt;0,"Risco elevado",IF(VLOOKUP(BH242,Fundamentus!A:U,8,FALSE)&lt;1,"Saudável",IF(VLOOKUP(BH242,Fundamentus!A:U,8,FALSE)&lt;3,"Estável",IF(VLOOKUP(BH242,Fundamentus!A:U,8,FALSE)&gt;3,"Alerta","n/a"))))</f>
        <v>#N/A</v>
      </c>
      <c r="EP242" s="36" t="e">
        <f t="shared" si="258"/>
        <v>#N/A</v>
      </c>
      <c r="EQ242" s="20" t="e">
        <f>IF(VLOOKUP(BH242,Fundamentus!A:U,12,FALSE)&lt;2,"Subvalorizada",IF(VLOOKUP(BH242,Fundamentus!A:U,12,FALSE)&lt;6,"Muita barata",IF(VLOOKUP(BH242,Fundamentus!A:U,12,FALSE)&lt;6,"Barata",IF(VLOOKUP(BH242,Fundamentus!A:U,12,FALSE)&lt;8,"Atrativa",IF(VLOOKUP(BH242,Fundamentus!A:U,12,FALSE)&gt;8,"Supervalorizada","n/a")))))</f>
        <v>#N/A</v>
      </c>
      <c r="ES242" s="20" t="e">
        <f>IF(VLOOKUP(BH242,Fundamentus!A:U,17,FALSE)&lt;0.1,"Fraco retorno",IF(VLOOKUP(BH242,Fundamentus!A:U,17,FALSE)&gt;0.1,"Bom retorno","n/a"))</f>
        <v>#N/A</v>
      </c>
      <c r="ET242" s="20" t="e">
        <f>IF(VLOOKUP(BH242,Fundamentus!A:U,16,FALSE)&lt;0.1,"Ineficiente",IF(VLOOKUP(BH242,Fundamentus!A:U,16,FALSE)&gt;0.1,"Eficiente","n/a"))</f>
        <v>#N/A</v>
      </c>
      <c r="EU242" s="41" t="e">
        <f>IF(VLOOKUP(BH242,Fundamentus!A:U,16,FALSE)&lt;0.1,"Oper. Ineficiente",IF(VLOOKUP(BH242,Fundamentus!A:U,16,FALSE)&gt;0.1,"Oper.Eficiente","n/a"))</f>
        <v>#N/A</v>
      </c>
      <c r="EV242" s="42" t="e">
        <f>VLOOKUP(BH242,Fundamentus!A:U,14,FALSE)</f>
        <v>#N/A</v>
      </c>
      <c r="EW242" s="20" t="e">
        <f>IF(VLOOKUP(BH242,Fundamentus!A:U,21,FALSE)&lt;0,"Negativo",IF(VLOOKUP(BH242,Fundamentus!A:U,21,FALSE)&lt;0.05,"Fraco",IF(VLOOKUP(BH242,Fundamentus!A:U,21,FALSE)&lt;0.1,"Bom",IF(VLOOKUP(BH242,Fundamentus!A:U,21,FALSE)&gt;0.1,"Muito bom","n/a"))))</f>
        <v>#N/A</v>
      </c>
      <c r="EY242" s="37" t="e">
        <f>IF(VLOOKUP(BH242,Fundamentus!A:U,15,FALSE)&gt;1,"Bom",IF(VLOOKUP(BH242,Fundamentus!A:U,15,FALSE)&lt;1,"Ruim","n/a"))</f>
        <v>#N/A</v>
      </c>
      <c r="EZ242" s="20" t="e">
        <f>IF(VLOOKUP(BH242,Fundamentus!A:U,20,FALSE)&lt;0.5,"Baixa",IF(VLOOKUP(BH242,Fundamentus!A:U,20,FALSE)&lt;1,"Moderada",IF(VLOOKUP(BH242,Fundamentus!A:U,20,FALSE)&lt;2,"Alerta",IF(VLOOKUP(BH242,Fundamentus!A:U,20,FALSE)&gt;2,"Alta","n/a"))))</f>
        <v>#N/A</v>
      </c>
    </row>
    <row r="243" spans="1:156" s="2" customFormat="1" ht="11.25" hidden="1" x14ac:dyDescent="0.2">
      <c r="A243" s="4">
        <v>0.74</v>
      </c>
      <c r="B243" s="4">
        <v>0.71</v>
      </c>
      <c r="C243" s="4">
        <v>0.46</v>
      </c>
      <c r="D243" s="4">
        <v>0.51</v>
      </c>
      <c r="E243" s="4">
        <v>0.47</v>
      </c>
      <c r="F243" s="4">
        <v>0.37</v>
      </c>
      <c r="G243" s="4">
        <v>0.36</v>
      </c>
      <c r="H243" s="4">
        <v>0.33</v>
      </c>
      <c r="I243" s="4">
        <v>0.34</v>
      </c>
      <c r="J243" s="4">
        <v>0.37</v>
      </c>
      <c r="K243" s="4">
        <v>0.42</v>
      </c>
      <c r="L243" s="4">
        <v>0.35</v>
      </c>
      <c r="M243" s="4">
        <v>0.36</v>
      </c>
      <c r="N243" s="4">
        <v>0.35</v>
      </c>
      <c r="O243" s="4">
        <v>0.37</v>
      </c>
      <c r="P243" s="4">
        <v>0.19</v>
      </c>
      <c r="Q243" s="4">
        <v>0.17</v>
      </c>
      <c r="R243" s="4">
        <v>0.14000000000000001</v>
      </c>
      <c r="S243" s="4">
        <v>0.14000000000000001</v>
      </c>
      <c r="T243" s="4">
        <v>0.17</v>
      </c>
      <c r="U243" s="4">
        <v>0.16</v>
      </c>
      <c r="V243" s="4">
        <v>0.16</v>
      </c>
      <c r="W243" s="4">
        <v>0.17</v>
      </c>
      <c r="X243" s="4">
        <v>0.16</v>
      </c>
      <c r="Y243" s="4">
        <v>0.14000000000000001</v>
      </c>
      <c r="Z243" s="4">
        <v>0.14000000000000001</v>
      </c>
      <c r="AA243" s="4">
        <v>0.14000000000000001</v>
      </c>
      <c r="AB243" s="4">
        <v>0.12</v>
      </c>
      <c r="AC243" s="4">
        <v>0.12</v>
      </c>
      <c r="AD243" s="4">
        <v>0.12</v>
      </c>
      <c r="AE243" s="4">
        <v>0.12</v>
      </c>
      <c r="AF243" s="4">
        <v>0.1</v>
      </c>
      <c r="AG243" s="4">
        <v>0.1</v>
      </c>
      <c r="AH243" s="4">
        <v>0.06</v>
      </c>
      <c r="AI243" s="4">
        <v>0.06</v>
      </c>
      <c r="AJ243" s="4">
        <v>0.06</v>
      </c>
      <c r="AK243" s="4">
        <v>0.09</v>
      </c>
      <c r="AL243" s="4">
        <v>0.08</v>
      </c>
      <c r="AM243" s="4">
        <v>0.08</v>
      </c>
      <c r="AN243" s="4">
        <v>7.0000000000000007E-2</v>
      </c>
      <c r="AO243" s="4">
        <v>7.0000000000000007E-2</v>
      </c>
      <c r="AP243" s="4">
        <v>7.0000000000000007E-2</v>
      </c>
      <c r="AQ243" s="4">
        <v>0.06</v>
      </c>
      <c r="AR243" s="4">
        <v>0.06</v>
      </c>
      <c r="AS243" s="4">
        <v>0.06</v>
      </c>
      <c r="AT243" s="4">
        <v>0.06</v>
      </c>
      <c r="AU243" s="4">
        <v>8.4999999999999992E-2</v>
      </c>
      <c r="AV243" s="4">
        <v>0.11</v>
      </c>
      <c r="AW243" s="4">
        <v>0.1</v>
      </c>
      <c r="AX243" s="4">
        <v>0.09</v>
      </c>
      <c r="AY243" s="12">
        <v>0.09</v>
      </c>
      <c r="AZ243" s="12">
        <v>0.08</v>
      </c>
      <c r="BA243" s="12">
        <v>0.08</v>
      </c>
      <c r="BB243" s="18">
        <v>0.1</v>
      </c>
      <c r="BC243" s="63">
        <v>0.08</v>
      </c>
      <c r="BD243" s="63">
        <v>7.0000000000000007E-2</v>
      </c>
      <c r="BE243" s="63">
        <v>7.0000000000000007E-2</v>
      </c>
      <c r="BF243" s="63">
        <v>7.0000000000000007E-2</v>
      </c>
      <c r="BG243" s="91" cm="1">
        <f t="array" aca="1" ref="BG243" ca="1">_FV(EE243,"Preço")</f>
        <v>7.0000000000000007E-2</v>
      </c>
      <c r="BH243" s="93" t="s">
        <v>240</v>
      </c>
      <c r="BI243" s="32" cm="1">
        <f t="array" aca="1" ref="BI243" ca="1">_FV(EE243,"Beta")</f>
        <v>2.5028999999999999</v>
      </c>
      <c r="BJ243" s="96" cm="1">
        <f t="array" aca="1" ref="BJ243" ca="1">_FV(EE243,"Variação (%)",TRUE)</f>
        <v>0.16666699999999998</v>
      </c>
      <c r="BK243" s="49"/>
      <c r="BL243" s="49"/>
      <c r="BN243" s="32"/>
      <c r="BO243" s="20" cm="1">
        <f t="array" aca="1" ref="BO243" ca="1">_FV(EE243,"Baixo")</f>
        <v>0.06</v>
      </c>
      <c r="BP243" s="20" cm="1">
        <f t="array" aca="1" ref="BP243" ca="1">_FV(EE243,"Alto")</f>
        <v>7.0000000000000007E-2</v>
      </c>
      <c r="BQ243" s="32"/>
      <c r="BR243" s="74">
        <f ca="1">SQRT(22.5*(BG243/VLOOKUP(BH243,Fundamentus!A:U,3,FALSE))*(BG243/VLOOKUP(BH243,Fundamentus!A:U,4,FALSE)))</f>
        <v>1.6201851746019651</v>
      </c>
      <c r="BT243" s="73">
        <f t="shared" ca="1" si="235"/>
        <v>0</v>
      </c>
      <c r="BU243" s="36">
        <f t="shared" si="236"/>
        <v>-0.90540540540540537</v>
      </c>
      <c r="BV243" s="8"/>
      <c r="BW243" s="72">
        <f t="shared" si="237"/>
        <v>0.06</v>
      </c>
      <c r="BX243" s="72">
        <f t="shared" si="238"/>
        <v>0.18922413793103451</v>
      </c>
      <c r="BY243" s="72">
        <f t="shared" si="239"/>
        <v>0.74</v>
      </c>
      <c r="BZ243" s="17"/>
      <c r="CA243" s="17"/>
      <c r="CB243" s="43">
        <f t="shared" si="240"/>
        <v>5.6353804068999078E-2</v>
      </c>
      <c r="CC243" s="18">
        <f t="shared" si="241"/>
        <v>6.5014058106843464E-2</v>
      </c>
      <c r="CD243" s="43">
        <f t="shared" si="242"/>
        <v>7.3674312144687851E-2</v>
      </c>
      <c r="CE243" s="98">
        <f t="shared" ca="1" si="243"/>
        <v>0.57572697883555246</v>
      </c>
      <c r="CF243" s="17"/>
      <c r="CG243" s="20">
        <f t="shared" si="244"/>
        <v>-0.83999999999999986</v>
      </c>
      <c r="CH243" s="20">
        <f t="shared" si="245"/>
        <v>-0.3899999999999999</v>
      </c>
      <c r="CI243" s="20">
        <f t="shared" si="246"/>
        <v>-0.15999999999999992</v>
      </c>
      <c r="CJ243" s="49">
        <f t="shared" si="247"/>
        <v>0.29000000000000004</v>
      </c>
      <c r="CK243" s="20">
        <f t="shared" si="248"/>
        <v>0.52</v>
      </c>
      <c r="CL243" s="20">
        <f t="shared" si="249"/>
        <v>0.97</v>
      </c>
      <c r="CM243" s="20">
        <f t="shared" si="250"/>
        <v>1.2000000000000002</v>
      </c>
      <c r="CN243" s="2" cm="1">
        <f t="array" aca="1" ref="CN243" ca="1">MAX(_xlfn._xlws.FILTER(CG243:CM243,CG243:CM243&lt;BG243))</f>
        <v>-0.15999999999999992</v>
      </c>
      <c r="CO243" s="2" cm="1">
        <f t="array" aca="1" ref="CO243" ca="1">MIN(_xlfn._xlws.FILTER($CG243:$CM243,$CG243:$CM243&gt;BG243))</f>
        <v>0.29000000000000004</v>
      </c>
      <c r="CP243" s="19">
        <f t="shared" ca="1" si="259"/>
        <v>-2.8125000000000009</v>
      </c>
      <c r="CQ243" s="23">
        <f t="shared" ca="1" si="260"/>
        <v>1.4062500000000004</v>
      </c>
      <c r="CR243" s="23">
        <f t="shared" ca="1" si="261"/>
        <v>0.93750000000000033</v>
      </c>
      <c r="CS243" s="23">
        <f t="shared" ca="1" si="262"/>
        <v>0.56250000000000022</v>
      </c>
      <c r="CT243" s="23">
        <f t="shared" ca="1" si="263"/>
        <v>0.31250000000000011</v>
      </c>
      <c r="CU243" s="23">
        <f t="shared" ca="1" si="264"/>
        <v>0.16544117647058829</v>
      </c>
      <c r="CV243" s="23">
        <f t="shared" ca="1" si="265"/>
        <v>8.5227272727272749E-2</v>
      </c>
      <c r="CW243" s="23">
        <f t="shared" ca="1" si="266"/>
        <v>4.3269230769230782E-2</v>
      </c>
      <c r="CX243" s="24">
        <f t="shared" ca="1" si="267"/>
        <v>-4.3269230769230782E-2</v>
      </c>
      <c r="CY243" s="24">
        <f t="shared" ca="1" si="268"/>
        <v>-8.5227272727272749E-2</v>
      </c>
      <c r="CZ243" s="24">
        <f t="shared" ca="1" si="269"/>
        <v>-0.16544117647058829</v>
      </c>
      <c r="DA243" s="24">
        <f t="shared" ca="1" si="270"/>
        <v>-0.31250000000000011</v>
      </c>
      <c r="DB243" s="24">
        <f t="shared" ca="1" si="271"/>
        <v>-0.56250000000000022</v>
      </c>
      <c r="DC243" s="24">
        <f t="shared" ca="1" si="272"/>
        <v>-0.93750000000000033</v>
      </c>
      <c r="DD243" s="24">
        <f t="shared" ca="1" si="273"/>
        <v>-1.4062500000000004</v>
      </c>
      <c r="DF243" s="19" cm="1">
        <f t="array" aca="1" ref="DF243" ca="1">MAX(_xlfn._xlws.FILTER(CQ243:DD243,CQ243:DD243&lt;BJ243))</f>
        <v>0.16544117647058829</v>
      </c>
      <c r="DG243" s="19" cm="1">
        <f t="array" aca="1" ref="DG243" ca="1">MIN(_xlfn._xlws.FILTER(CQ243:DD243,CQ243:DD243&gt;BJ243))</f>
        <v>0.31250000000000011</v>
      </c>
      <c r="DH243" s="2" cm="1">
        <f t="array" aca="1" ref="DH243" ca="1">_FV(EE243,"Fechamento anterior",TRUE)</f>
        <v>0.06</v>
      </c>
      <c r="DI243" s="36">
        <f t="shared" ca="1" si="251"/>
        <v>8.3333333333336212E-3</v>
      </c>
      <c r="DJ243" s="18">
        <f t="shared" ca="1" si="274"/>
        <v>6.9926470588235298E-2</v>
      </c>
      <c r="DK243" s="18">
        <f t="shared" ca="1" si="275"/>
        <v>7.8750000000000001E-2</v>
      </c>
      <c r="DL243" s="9"/>
      <c r="DM243" s="9"/>
      <c r="DN243" s="9"/>
      <c r="DO243" s="9"/>
      <c r="DP243" s="79">
        <v>7.7575757575757576E-2</v>
      </c>
      <c r="DQ243" s="79">
        <v>8.3692307692307705E-2</v>
      </c>
      <c r="DR243" s="79">
        <v>8.3692307692307705E-2</v>
      </c>
      <c r="DS243" s="79">
        <f t="shared" ca="1" si="252"/>
        <v>0.14705882352941183</v>
      </c>
      <c r="DT243" s="47"/>
      <c r="DU243" s="43">
        <f t="shared" si="253"/>
        <v>4.3301270189221915E-3</v>
      </c>
      <c r="DV243" s="83">
        <f t="shared" ca="1" si="254"/>
        <v>2.9289999999999998</v>
      </c>
      <c r="DW243" s="83">
        <f t="shared" ca="1" si="255"/>
        <v>-14.163799999999998</v>
      </c>
      <c r="DX243" s="83">
        <f t="shared" ca="1" si="234"/>
        <v>17.092799999999997</v>
      </c>
      <c r="DY243" s="67"/>
      <c r="DZ243" s="67"/>
      <c r="EA243" s="85"/>
      <c r="EB243" s="44">
        <v>7152900</v>
      </c>
      <c r="EC243" s="44" cm="1">
        <f t="array" aca="1" ref="EC243" ca="1">_FV(EE243,"Volume")</f>
        <v>6700700</v>
      </c>
      <c r="EE243" s="2" t="e" vm="245">
        <v>#VALUE!</v>
      </c>
      <c r="EG243" s="10" cm="1">
        <f t="array" aca="1" ref="EG243" ca="1">_FV(EE243,"Ações em circulação",TRUE)</f>
        <v>1480408000</v>
      </c>
      <c r="EH243" s="21">
        <f>VLOOKUP(BH243,Fundamentus!A:U,5,FALSE)</f>
        <v>0.10100000000000001</v>
      </c>
      <c r="EI243" s="2">
        <f t="shared" ca="1" si="256"/>
        <v>1026025346.5346535</v>
      </c>
      <c r="EJ243" s="20">
        <v>-1702381254.9702971</v>
      </c>
      <c r="EK243" s="20">
        <f t="shared" ca="1" si="257"/>
        <v>-1702381254.9702971</v>
      </c>
      <c r="EM243" s="40" t="str">
        <f>IF(VLOOKUP(BH243,Fundamentus!A:U,3,FALSE)&lt;15,"Bom",IF(VLOOKUP(BH243,Fundamentus!A:U,3,FALSE)&gt;15,"Ruim","n/a"))</f>
        <v>Bom</v>
      </c>
      <c r="EN243" s="36" t="str">
        <f>IF(VLOOKUP(BH243,Fundamentus!A:U,4,FALSE)&lt;1,"Baixo",IF(VLOOKUP(BH243,Fundamentus!A:U,4,FALSE)&lt;1.5,"Moderado",IF(VLOOKUP(BH243,Fundamentus!A:U,4,FALSE)&gt;1.5,"Alto","n/a")))</f>
        <v>Baixo</v>
      </c>
      <c r="EO243" s="20" t="str">
        <f>IF(VLOOKUP(BH243,Fundamentus!A:U,8,FALSE)&lt;0,"Risco elevado",IF(VLOOKUP(BH243,Fundamentus!A:U,8,FALSE)&lt;1,"Saudável",IF(VLOOKUP(BH243,Fundamentus!A:U,8,FALSE)&lt;3,"Estável",IF(VLOOKUP(BH243,Fundamentus!A:U,8,FALSE)&gt;3,"Alerta","n/a"))))</f>
        <v>Risco elevado</v>
      </c>
      <c r="EP243" s="36" t="str">
        <f t="shared" si="258"/>
        <v>Ruim</v>
      </c>
      <c r="EQ243" s="20" t="str">
        <f>IF(VLOOKUP(BH243,Fundamentus!A:U,12,FALSE)&lt;2,"Subvalorizada",IF(VLOOKUP(BH243,Fundamentus!A:U,12,FALSE)&lt;6,"Muita barata",IF(VLOOKUP(BH243,Fundamentus!A:U,12,FALSE)&lt;6,"Barata",IF(VLOOKUP(BH243,Fundamentus!A:U,12,FALSE)&lt;8,"Atrativa",IF(VLOOKUP(BH243,Fundamentus!A:U,12,FALSE)&gt;8,"Supervalorizada","n/a")))))</f>
        <v>Subvalorizada</v>
      </c>
      <c r="ES243" s="20" t="str">
        <f>IF(VLOOKUP(BH243,Fundamentus!A:U,17,FALSE)&lt;0.1,"Fraco retorno",IF(VLOOKUP(BH243,Fundamentus!A:U,17,FALSE)&gt;0.1,"Bom retorno","n/a"))</f>
        <v>Bom retorno</v>
      </c>
      <c r="ET243" s="20" t="str">
        <f>IF(VLOOKUP(BH243,Fundamentus!A:U,16,FALSE)&lt;0.1,"Ineficiente",IF(VLOOKUP(BH243,Fundamentus!A:U,16,FALSE)&gt;0.1,"Eficiente","n/a"))</f>
        <v>Ineficiente</v>
      </c>
      <c r="EU243" s="41" t="str">
        <f>IF(VLOOKUP(BH243,Fundamentus!A:U,16,FALSE)&lt;0.1,"Oper. Ineficiente",IF(VLOOKUP(BH243,Fundamentus!A:U,16,FALSE)&gt;0.1,"Oper.Eficiente","n/a"))</f>
        <v>Oper. Ineficiente</v>
      </c>
      <c r="EV243" s="42">
        <f>VLOOKUP(BH243,Fundamentus!A:U,14,FALSE)</f>
        <v>-1.6592</v>
      </c>
      <c r="EW243" s="20" t="str">
        <f>IF(VLOOKUP(BH243,Fundamentus!A:U,21,FALSE)&lt;0,"Negativo",IF(VLOOKUP(BH243,Fundamentus!A:U,21,FALSE)&lt;0.05,"Fraco",IF(VLOOKUP(BH243,Fundamentus!A:U,21,FALSE)&lt;0.1,"Bom",IF(VLOOKUP(BH243,Fundamentus!A:U,21,FALSE)&gt;0.1,"Muito bom","n/a"))))</f>
        <v>Muito bom</v>
      </c>
      <c r="EY243" s="37" t="str">
        <f>IF(VLOOKUP(BH243,Fundamentus!A:U,15,FALSE)&gt;1,"Bom",IF(VLOOKUP(BH243,Fundamentus!A:U,15,FALSE)&lt;1,"Ruim","n/a"))</f>
        <v>Ruim</v>
      </c>
      <c r="EZ243" s="20" t="str">
        <f>IF(VLOOKUP(BH243,Fundamentus!A:U,20,FALSE)&lt;0.5,"Baixa",IF(VLOOKUP(BH243,Fundamentus!A:U,20,FALSE)&lt;1,"Moderada",IF(VLOOKUP(BH243,Fundamentus!A:U,20,FALSE)&lt;2,"Alerta",IF(VLOOKUP(BH243,Fundamentus!A:U,20,FALSE)&gt;2,"Alta","n/a"))))</f>
        <v>Baixa</v>
      </c>
    </row>
    <row r="244" spans="1:156" s="2" customFormat="1" ht="11.25" hidden="1" x14ac:dyDescent="0.2">
      <c r="A244" s="4">
        <v>3.85</v>
      </c>
      <c r="B244" s="4">
        <v>4.0999999999999996</v>
      </c>
      <c r="C244" s="4">
        <v>4.51</v>
      </c>
      <c r="D244" s="4">
        <v>4.25</v>
      </c>
      <c r="E244" s="4">
        <v>3.98</v>
      </c>
      <c r="F244" s="4">
        <v>3.89</v>
      </c>
      <c r="G244" s="4">
        <v>3.75</v>
      </c>
      <c r="H244" s="4">
        <v>3.67</v>
      </c>
      <c r="I244" s="4">
        <v>3.82</v>
      </c>
      <c r="J244" s="4">
        <v>3.95</v>
      </c>
      <c r="K244" s="4">
        <v>4.08</v>
      </c>
      <c r="L244" s="4">
        <v>3.89</v>
      </c>
      <c r="M244" s="4">
        <v>4.18</v>
      </c>
      <c r="N244" s="4">
        <v>4.3</v>
      </c>
      <c r="O244" s="4">
        <v>4.43</v>
      </c>
      <c r="P244" s="4">
        <v>4.2699999999999996</v>
      </c>
      <c r="Q244" s="4">
        <v>4.49</v>
      </c>
      <c r="R244" s="4">
        <v>4.24</v>
      </c>
      <c r="S244" s="4">
        <v>4.4800000000000004</v>
      </c>
      <c r="T244" s="4">
        <v>4.5999999999999996</v>
      </c>
      <c r="U244" s="4">
        <v>4.33</v>
      </c>
      <c r="V244" s="4">
        <v>4</v>
      </c>
      <c r="W244" s="4">
        <v>4.0199999999999996</v>
      </c>
      <c r="X244" s="4">
        <v>3.87</v>
      </c>
      <c r="Y244" s="4">
        <v>3.53</v>
      </c>
      <c r="Z244" s="4">
        <v>3.64</v>
      </c>
      <c r="AA244" s="4">
        <v>3.33</v>
      </c>
      <c r="AB244" s="4">
        <v>3.18</v>
      </c>
      <c r="AC244" s="4">
        <v>3.17</v>
      </c>
      <c r="AD244" s="4">
        <v>2.98</v>
      </c>
      <c r="AE244" s="4">
        <v>2.7</v>
      </c>
      <c r="AF244" s="4">
        <v>2.4700000000000002</v>
      </c>
      <c r="AG244" s="4">
        <v>2.61</v>
      </c>
      <c r="AH244" s="4">
        <v>2.25</v>
      </c>
      <c r="AI244" s="4">
        <v>2.21</v>
      </c>
      <c r="AJ244" s="4">
        <v>2.1</v>
      </c>
      <c r="AK244" s="4">
        <v>2.2000000000000002</v>
      </c>
      <c r="AL244" s="4">
        <v>2.2400000000000002</v>
      </c>
      <c r="AM244" s="4">
        <v>2.29</v>
      </c>
      <c r="AN244" s="4">
        <v>2.42</v>
      </c>
      <c r="AO244" s="4">
        <v>2.33</v>
      </c>
      <c r="AP244" s="4">
        <v>2.5099999999999998</v>
      </c>
      <c r="AQ244" s="4">
        <v>2.36</v>
      </c>
      <c r="AR244" s="4">
        <v>2.11</v>
      </c>
      <c r="AS244" s="4">
        <v>2.17</v>
      </c>
      <c r="AT244" s="4">
        <v>2.1800000000000002</v>
      </c>
      <c r="AU244" s="4">
        <v>2.21</v>
      </c>
      <c r="AV244" s="4">
        <v>2.2999999999999998</v>
      </c>
      <c r="AW244" s="4">
        <v>2.13</v>
      </c>
      <c r="AX244" s="4">
        <v>2.2400000000000002</v>
      </c>
      <c r="AY244" s="12">
        <v>2.16</v>
      </c>
      <c r="AZ244" s="12">
        <v>2.41</v>
      </c>
      <c r="BA244" s="12">
        <v>2.3199999999999998</v>
      </c>
      <c r="BB244" s="18">
        <v>2.46</v>
      </c>
      <c r="BC244" s="63">
        <v>42.3</v>
      </c>
      <c r="BD244" s="63">
        <v>42.6</v>
      </c>
      <c r="BE244" s="63">
        <v>42.9</v>
      </c>
      <c r="BF244" s="63">
        <v>39.909999999999997</v>
      </c>
      <c r="BG244" s="91" cm="1">
        <f t="array" aca="1" ref="BG244" ca="1">_FV(EE244,"Preço")</f>
        <v>38.49</v>
      </c>
      <c r="BH244" s="93" t="s">
        <v>241</v>
      </c>
      <c r="BI244" s="32" cm="1">
        <f t="array" aca="1" ref="BI244" ca="1">_FV(EE244,"Beta")</f>
        <v>1.5931999999999999</v>
      </c>
      <c r="BJ244" s="96" cm="1">
        <f t="array" aca="1" ref="BJ244" ca="1">_FV(EE244,"Variação (%)",TRUE)</f>
        <v>-2.6062999999999999E-2</v>
      </c>
      <c r="BK244" s="49"/>
      <c r="BL244" s="49"/>
      <c r="BN244" s="32"/>
      <c r="BO244" s="20" cm="1">
        <f t="array" aca="1" ref="BO244" ca="1">_FV(EE244,"Baixo")</f>
        <v>38.31</v>
      </c>
      <c r="BP244" s="20" cm="1">
        <f t="array" aca="1" ref="BP244" ca="1">_FV(EE244,"Alto")</f>
        <v>39.369999999999997</v>
      </c>
      <c r="BQ244" s="32"/>
      <c r="BR244" s="74" t="e">
        <f ca="1">SQRT(22.5*(BG244/VLOOKUP(BH244,Fundamentus!A:U,3,FALSE))*(BG244/VLOOKUP(BH244,Fundamentus!A:U,4,FALSE)))</f>
        <v>#NUM!</v>
      </c>
      <c r="BT244" s="73">
        <f t="shared" ca="1" si="235"/>
        <v>-3.5580055124028932E-2</v>
      </c>
      <c r="BU244" s="36">
        <f t="shared" si="236"/>
        <v>10.142857142857142</v>
      </c>
      <c r="BV244" s="8"/>
      <c r="BW244" s="72">
        <f t="shared" si="237"/>
        <v>2.1</v>
      </c>
      <c r="BX244" s="72">
        <f t="shared" si="238"/>
        <v>5.894310344827586</v>
      </c>
      <c r="BY244" s="72">
        <f t="shared" si="239"/>
        <v>42.9</v>
      </c>
      <c r="BZ244" s="17"/>
      <c r="CA244" s="17"/>
      <c r="CB244" s="43">
        <f t="shared" si="240"/>
        <v>37.934791592680831</v>
      </c>
      <c r="CC244" s="18">
        <f t="shared" si="241"/>
        <v>40.302717900655807</v>
      </c>
      <c r="CD244" s="43">
        <f t="shared" si="242"/>
        <v>42.670644208630783</v>
      </c>
      <c r="CE244" s="98">
        <f t="shared" ca="1" si="243"/>
        <v>-0.76552969344980215</v>
      </c>
      <c r="CF244" s="17"/>
      <c r="CG244" s="20">
        <f t="shared" si="244"/>
        <v>-27.093333333333334</v>
      </c>
      <c r="CH244" s="20">
        <f t="shared" si="245"/>
        <v>-12.496666666666666</v>
      </c>
      <c r="CI244" s="20">
        <f t="shared" si="246"/>
        <v>13.706666666666663</v>
      </c>
      <c r="CJ244" s="49">
        <f t="shared" si="247"/>
        <v>28.303333333333331</v>
      </c>
      <c r="CK244" s="20">
        <f t="shared" si="248"/>
        <v>54.506666666666661</v>
      </c>
      <c r="CL244" s="20">
        <f t="shared" si="249"/>
        <v>69.103333333333325</v>
      </c>
      <c r="CM244" s="20">
        <f t="shared" si="250"/>
        <v>95.306666666666658</v>
      </c>
      <c r="CN244" s="2" cm="1">
        <f t="array" aca="1" ref="CN244" ca="1">MAX(_xlfn._xlws.FILTER(CG244:CM244,CG244:CM244&lt;BG244))</f>
        <v>28.303333333333331</v>
      </c>
      <c r="CO244" s="2" cm="1">
        <f t="array" aca="1" ref="CO244" ca="1">MIN(_xlfn._xlws.FILTER($CG244:$CM244,$CG244:$CM244&gt;BG244))</f>
        <v>54.506666666666661</v>
      </c>
      <c r="CP244" s="19">
        <f t="shared" ca="1" si="259"/>
        <v>0.92580379225061815</v>
      </c>
      <c r="CQ244" s="23">
        <f t="shared" ca="1" si="260"/>
        <v>-0.46290189612530908</v>
      </c>
      <c r="CR244" s="23">
        <f t="shared" ca="1" si="261"/>
        <v>-0.30860126408353938</v>
      </c>
      <c r="CS244" s="23">
        <f t="shared" ca="1" si="262"/>
        <v>-0.18516075845012364</v>
      </c>
      <c r="CT244" s="23">
        <f t="shared" ca="1" si="263"/>
        <v>-0.10286708802784646</v>
      </c>
      <c r="CU244" s="23">
        <f t="shared" ca="1" si="264"/>
        <v>-5.445904660297754E-2</v>
      </c>
      <c r="CV244" s="23">
        <f t="shared" ca="1" si="265"/>
        <v>-2.8054660371230854E-2</v>
      </c>
      <c r="CW244" s="23">
        <f t="shared" ca="1" si="266"/>
        <v>-1.4243135265394126E-2</v>
      </c>
      <c r="CX244" s="24">
        <f t="shared" ca="1" si="267"/>
        <v>1.4243135265394126E-2</v>
      </c>
      <c r="CY244" s="24">
        <f t="shared" ca="1" si="268"/>
        <v>2.8054660371230854E-2</v>
      </c>
      <c r="CZ244" s="24">
        <f t="shared" ca="1" si="269"/>
        <v>5.445904660297754E-2</v>
      </c>
      <c r="DA244" s="24">
        <f t="shared" ca="1" si="270"/>
        <v>0.10286708802784646</v>
      </c>
      <c r="DB244" s="24">
        <f t="shared" ca="1" si="271"/>
        <v>0.18516075845012364</v>
      </c>
      <c r="DC244" s="24">
        <f t="shared" ca="1" si="272"/>
        <v>0.30860126408353938</v>
      </c>
      <c r="DD244" s="24">
        <f t="shared" ca="1" si="273"/>
        <v>0.46290189612530908</v>
      </c>
      <c r="DF244" s="19" cm="1">
        <f t="array" aca="1" ref="DF244" ca="1">MAX(_xlfn._xlws.FILTER(CQ244:DD244,CQ244:DD244&lt;BJ244))</f>
        <v>-2.8054660371230854E-2</v>
      </c>
      <c r="DG244" s="19" cm="1">
        <f t="array" aca="1" ref="DG244" ca="1">MIN(_xlfn._xlws.FILTER(CQ244:DD244,CQ244:DD244&gt;BJ244))</f>
        <v>-1.4243135265394126E-2</v>
      </c>
      <c r="DH244" s="2" cm="1">
        <f t="array" aca="1" ref="DH244" ca="1">_FV(EE244,"Fechamento anterior",TRUE)</f>
        <v>39.520000000000003</v>
      </c>
      <c r="DI244" s="36">
        <f t="shared" ca="1" si="251"/>
        <v>0.14422066495406552</v>
      </c>
      <c r="DJ244" s="18">
        <f t="shared" ca="1" si="274"/>
        <v>38.411279822128961</v>
      </c>
      <c r="DK244" s="18">
        <f t="shared" ca="1" si="275"/>
        <v>38.95711129431163</v>
      </c>
      <c r="DL244" s="9"/>
      <c r="DM244" s="9"/>
      <c r="DN244" s="9"/>
      <c r="DO244" s="9"/>
      <c r="DP244" s="79">
        <v>1.2697482479916009E-2</v>
      </c>
      <c r="DQ244" s="79">
        <v>1.3698630136986308E-2</v>
      </c>
      <c r="DR244" s="79">
        <v>1.2901232849722666E-2</v>
      </c>
      <c r="DS244" s="79">
        <f t="shared" ca="1" si="252"/>
        <v>1.3811525105836728E-2</v>
      </c>
      <c r="DT244" s="47"/>
      <c r="DU244" s="43">
        <f t="shared" si="253"/>
        <v>1.1839631539874891</v>
      </c>
      <c r="DV244" s="83">
        <f t="shared" ca="1" si="254"/>
        <v>2.0192999999999999</v>
      </c>
      <c r="DW244" s="83">
        <f t="shared" ca="1" si="255"/>
        <v>4.1995000000000005</v>
      </c>
      <c r="DX244" s="83">
        <f t="shared" ca="1" si="234"/>
        <v>-2.1802000000000006</v>
      </c>
      <c r="DY244" s="67"/>
      <c r="DZ244" s="67"/>
      <c r="EA244" s="85"/>
      <c r="EB244" s="44">
        <v>9746800</v>
      </c>
      <c r="EC244" s="44" cm="1">
        <f t="array" aca="1" ref="EC244" ca="1">_FV(EE244,"Volume")</f>
        <v>4952400</v>
      </c>
      <c r="EE244" s="2" t="e" vm="246">
        <v>#VALUE!</v>
      </c>
      <c r="EG244" s="10" cm="1">
        <f t="array" aca="1" ref="EG244" ca="1">_FV(EE244,"Ações em circulação",TRUE)</f>
        <v>502630900</v>
      </c>
      <c r="EH244" s="21">
        <f>VLOOKUP(BH244,Fundamentus!A:U,5,FALSE)</f>
        <v>4.7E-2</v>
      </c>
      <c r="EI244" s="2">
        <f t="shared" ca="1" si="256"/>
        <v>411622624276.59576</v>
      </c>
      <c r="EJ244" s="20">
        <v>-116518711140.55319</v>
      </c>
      <c r="EK244" s="20">
        <f t="shared" ca="1" si="257"/>
        <v>-7491531761.8340435</v>
      </c>
      <c r="EM244" s="40" t="str">
        <f>IF(VLOOKUP(BH244,Fundamentus!A:U,3,FALSE)&lt;15,"Bom",IF(VLOOKUP(BH244,Fundamentus!A:U,3,FALSE)&gt;15,"Ruim","n/a"))</f>
        <v>Bom</v>
      </c>
      <c r="EN244" s="36" t="str">
        <f>IF(VLOOKUP(BH244,Fundamentus!A:U,4,FALSE)&lt;1,"Baixo",IF(VLOOKUP(BH244,Fundamentus!A:U,4,FALSE)&lt;1.5,"Moderado",IF(VLOOKUP(BH244,Fundamentus!A:U,4,FALSE)&gt;1.5,"Alto","n/a")))</f>
        <v>Baixo</v>
      </c>
      <c r="EO244" s="20" t="str">
        <f>IF(VLOOKUP(BH244,Fundamentus!A:U,8,FALSE)&lt;0,"Risco elevado",IF(VLOOKUP(BH244,Fundamentus!A:U,8,FALSE)&lt;1,"Saudável",IF(VLOOKUP(BH244,Fundamentus!A:U,8,FALSE)&lt;3,"Estável",IF(VLOOKUP(BH244,Fundamentus!A:U,8,FALSE)&gt;3,"Alerta","n/a"))))</f>
        <v>Saudável</v>
      </c>
      <c r="EP244" s="36" t="str">
        <f t="shared" si="258"/>
        <v>Ruim</v>
      </c>
      <c r="EQ244" s="20" t="str">
        <f>IF(VLOOKUP(BH244,Fundamentus!A:U,12,FALSE)&lt;2,"Subvalorizada",IF(VLOOKUP(BH244,Fundamentus!A:U,12,FALSE)&lt;6,"Muita barata",IF(VLOOKUP(BH244,Fundamentus!A:U,12,FALSE)&lt;6,"Barata",IF(VLOOKUP(BH244,Fundamentus!A:U,12,FALSE)&lt;8,"Atrativa",IF(VLOOKUP(BH244,Fundamentus!A:U,12,FALSE)&gt;8,"Supervalorizada","n/a")))))</f>
        <v>Muita barata</v>
      </c>
      <c r="ES244" s="20" t="str">
        <f>IF(VLOOKUP(BH244,Fundamentus!A:U,17,FALSE)&lt;0.1,"Fraco retorno",IF(VLOOKUP(BH244,Fundamentus!A:U,17,FALSE)&gt;0.1,"Bom retorno","n/a"))</f>
        <v>Fraco retorno</v>
      </c>
      <c r="ET244" s="20" t="str">
        <f>IF(VLOOKUP(BH244,Fundamentus!A:U,16,FALSE)&lt;0.1,"Ineficiente",IF(VLOOKUP(BH244,Fundamentus!A:U,16,FALSE)&gt;0.1,"Eficiente","n/a"))</f>
        <v>Ineficiente</v>
      </c>
      <c r="EU244" s="41" t="str">
        <f>IF(VLOOKUP(BH244,Fundamentus!A:U,16,FALSE)&lt;0.1,"Oper. Ineficiente",IF(VLOOKUP(BH244,Fundamentus!A:U,16,FALSE)&gt;0.1,"Oper.Eficiente","n/a"))</f>
        <v>Oper. Ineficiente</v>
      </c>
      <c r="EV244" s="42">
        <f>VLOOKUP(BH244,Fundamentus!A:U,14,FALSE)</f>
        <v>-1.8200000000000001E-2</v>
      </c>
      <c r="EW244" s="20" t="str">
        <f>IF(VLOOKUP(BH244,Fundamentus!A:U,21,FALSE)&lt;0,"Negativo",IF(VLOOKUP(BH244,Fundamentus!A:U,21,FALSE)&lt;0.05,"Fraco",IF(VLOOKUP(BH244,Fundamentus!A:U,21,FALSE)&lt;0.1,"Bom",IF(VLOOKUP(BH244,Fundamentus!A:U,21,FALSE)&gt;0.1,"Muito bom","n/a"))))</f>
        <v>Muito bom</v>
      </c>
      <c r="EY244" s="37" t="str">
        <f>IF(VLOOKUP(BH244,Fundamentus!A:U,15,FALSE)&gt;1,"Bom",IF(VLOOKUP(BH244,Fundamentus!A:U,15,FALSE)&lt;1,"Ruim","n/a"))</f>
        <v>Bom</v>
      </c>
      <c r="EZ244" s="20" t="str">
        <f>IF(VLOOKUP(BH244,Fundamentus!A:U,20,FALSE)&lt;0.5,"Baixa",IF(VLOOKUP(BH244,Fundamentus!A:U,20,FALSE)&lt;1,"Moderada",IF(VLOOKUP(BH244,Fundamentus!A:U,20,FALSE)&lt;2,"Alerta",IF(VLOOKUP(BH244,Fundamentus!A:U,20,FALSE)&gt;2,"Alta","n/a"))))</f>
        <v>Baixa</v>
      </c>
    </row>
    <row r="245" spans="1:156" s="2" customFormat="1" ht="11.25" hidden="1" x14ac:dyDescent="0.2">
      <c r="A245" s="4">
        <v>0.39</v>
      </c>
      <c r="B245" s="4">
        <v>0.38</v>
      </c>
      <c r="C245" s="4">
        <v>0.38</v>
      </c>
      <c r="D245" s="4">
        <v>0.34</v>
      </c>
      <c r="E245" s="4">
        <v>6.39</v>
      </c>
      <c r="F245" s="4">
        <v>6.9</v>
      </c>
      <c r="G245" s="4">
        <v>6.29</v>
      </c>
      <c r="H245" s="4">
        <v>5.15</v>
      </c>
      <c r="I245" s="4">
        <v>4.3899999999999997</v>
      </c>
      <c r="J245" s="4">
        <v>4.7</v>
      </c>
      <c r="K245" s="4">
        <v>4.6399999999999997</v>
      </c>
      <c r="L245" s="4">
        <v>4.18</v>
      </c>
      <c r="M245" s="4">
        <v>3.91</v>
      </c>
      <c r="N245" s="4">
        <v>4.18</v>
      </c>
      <c r="O245" s="4">
        <v>7.27</v>
      </c>
      <c r="P245" s="4">
        <v>5.36</v>
      </c>
      <c r="Q245" s="4">
        <v>6.1</v>
      </c>
      <c r="R245" s="4">
        <v>6.39</v>
      </c>
      <c r="S245" s="4">
        <v>5.77</v>
      </c>
      <c r="T245" s="4">
        <v>5.65</v>
      </c>
      <c r="U245" s="4">
        <v>4.6500000000000004</v>
      </c>
      <c r="V245" s="4">
        <v>4.55</v>
      </c>
      <c r="W245" s="4">
        <v>4.42</v>
      </c>
      <c r="X245" s="4">
        <v>4.49</v>
      </c>
      <c r="Y245" s="4">
        <v>4.84</v>
      </c>
      <c r="Z245" s="4">
        <v>3.99</v>
      </c>
      <c r="AA245" s="4">
        <v>3.77</v>
      </c>
      <c r="AB245" s="4">
        <v>3.74</v>
      </c>
      <c r="AC245" s="4">
        <v>3.37</v>
      </c>
      <c r="AD245" s="4">
        <v>3.53</v>
      </c>
      <c r="AE245" s="4">
        <v>3.55</v>
      </c>
      <c r="AF245" s="4">
        <v>3.23</v>
      </c>
      <c r="AG245" s="4">
        <v>2.89</v>
      </c>
      <c r="AH245" s="4">
        <v>2.2999999999999998</v>
      </c>
      <c r="AI245" s="4">
        <v>2.57</v>
      </c>
      <c r="AJ245" s="4">
        <v>2.7</v>
      </c>
      <c r="AK245" s="4">
        <v>2.65</v>
      </c>
      <c r="AL245" s="4">
        <v>3.32</v>
      </c>
      <c r="AM245" s="4">
        <v>2.67</v>
      </c>
      <c r="AN245" s="4">
        <v>2.65</v>
      </c>
      <c r="AO245" s="4">
        <v>2.41</v>
      </c>
      <c r="AP245" s="4">
        <v>2.31</v>
      </c>
      <c r="AQ245" s="4">
        <v>2.25</v>
      </c>
      <c r="AR245" s="4">
        <v>1.98</v>
      </c>
      <c r="AS245" s="4">
        <v>1.98</v>
      </c>
      <c r="AT245" s="4">
        <v>2.08</v>
      </c>
      <c r="AU245" s="4">
        <v>2.0699999999999998</v>
      </c>
      <c r="AV245" s="4">
        <v>2.0099999999999998</v>
      </c>
      <c r="AW245" s="4">
        <v>2.1</v>
      </c>
      <c r="AX245" s="4">
        <v>2.0099999999999998</v>
      </c>
      <c r="AY245" s="12">
        <v>2.04</v>
      </c>
      <c r="AZ245" s="12">
        <v>2.02</v>
      </c>
      <c r="BA245" s="12">
        <v>1.91</v>
      </c>
      <c r="BB245" s="18">
        <v>2.0099999999999998</v>
      </c>
      <c r="BC245" s="63">
        <v>1.98</v>
      </c>
      <c r="BD245" s="63">
        <v>1.96</v>
      </c>
      <c r="BE245" s="63">
        <v>1.77</v>
      </c>
      <c r="BF245" s="63">
        <v>1.72</v>
      </c>
      <c r="BG245" s="91" cm="1">
        <f t="array" aca="1" ref="BG245" ca="1">_FV(EE245,"Preço")</f>
        <v>1.57</v>
      </c>
      <c r="BH245" s="93" t="s">
        <v>242</v>
      </c>
      <c r="BI245" s="32" cm="1">
        <f t="array" aca="1" ref="BI245" ca="1">_FV(EE245,"Beta")</f>
        <v>1.8673999999999999</v>
      </c>
      <c r="BJ245" s="96" cm="1">
        <f t="array" aca="1" ref="BJ245" ca="1">_FV(EE245,"Variação (%)",TRUE)</f>
        <v>-5.9880000000000003E-2</v>
      </c>
      <c r="BK245" s="49"/>
      <c r="BL245" s="49"/>
      <c r="BN245" s="32"/>
      <c r="BO245" s="20" cm="1">
        <f t="array" aca="1" ref="BO245" ca="1">_FV(EE245,"Baixo")</f>
        <v>1.57</v>
      </c>
      <c r="BP245" s="20" cm="1">
        <f t="array" aca="1" ref="BP245" ca="1">_FV(EE245,"Alto")</f>
        <v>1.68</v>
      </c>
      <c r="BQ245" s="32"/>
      <c r="BR245" s="74" t="e">
        <f ca="1">SQRT(22.5*(BG245/VLOOKUP(BH245,Fundamentus!A:U,3,FALSE))*(BG245/VLOOKUP(BH245,Fundamentus!A:U,4,FALSE)))</f>
        <v>#NUM!</v>
      </c>
      <c r="BT245" s="73">
        <f t="shared" ca="1" si="235"/>
        <v>-8.7209302325581342E-2</v>
      </c>
      <c r="BU245" s="36">
        <f t="shared" si="236"/>
        <v>3.5384615384615379</v>
      </c>
      <c r="BV245" s="8"/>
      <c r="BW245" s="72">
        <f t="shared" si="237"/>
        <v>0.34</v>
      </c>
      <c r="BX245" s="72">
        <f t="shared" si="238"/>
        <v>3.3663793103448261</v>
      </c>
      <c r="BY245" s="72">
        <f t="shared" si="239"/>
        <v>7.27</v>
      </c>
      <c r="BZ245" s="17"/>
      <c r="CA245" s="17"/>
      <c r="CB245" s="43">
        <f t="shared" si="240"/>
        <v>1.3952400759956938</v>
      </c>
      <c r="CC245" s="18">
        <f t="shared" si="241"/>
        <v>1.6234395501405743</v>
      </c>
      <c r="CD245" s="43">
        <f t="shared" si="242"/>
        <v>1.8516390242854548</v>
      </c>
      <c r="CE245" s="98">
        <f t="shared" ca="1" si="243"/>
        <v>-0.23417911167773434</v>
      </c>
      <c r="CF245" s="17"/>
      <c r="CG245" s="20">
        <f t="shared" si="244"/>
        <v>-7.98</v>
      </c>
      <c r="CH245" s="20">
        <f t="shared" si="245"/>
        <v>-3.82</v>
      </c>
      <c r="CI245" s="20">
        <f t="shared" si="246"/>
        <v>-1.0499999999999998</v>
      </c>
      <c r="CJ245" s="49">
        <f t="shared" si="247"/>
        <v>3.11</v>
      </c>
      <c r="CK245" s="20">
        <f t="shared" si="248"/>
        <v>5.88</v>
      </c>
      <c r="CL245" s="20">
        <f t="shared" si="249"/>
        <v>10.039999999999999</v>
      </c>
      <c r="CM245" s="20">
        <f t="shared" si="250"/>
        <v>12.809999999999999</v>
      </c>
      <c r="CN245" s="2" cm="1">
        <f t="array" aca="1" ref="CN245" ca="1">MAX(_xlfn._xlws.FILTER(CG245:CM245,CG245:CM245&lt;BG245))</f>
        <v>-1.0499999999999998</v>
      </c>
      <c r="CO245" s="2" cm="1">
        <f t="array" aca="1" ref="CO245" ca="1">MIN(_xlfn._xlws.FILTER($CG245:$CM245,$CG245:$CM245&gt;BG245))</f>
        <v>3.11</v>
      </c>
      <c r="CP245" s="19">
        <f t="shared" ca="1" si="259"/>
        <v>-3.9619047619047625</v>
      </c>
      <c r="CQ245" s="23">
        <f t="shared" ca="1" si="260"/>
        <v>1.9809523809523812</v>
      </c>
      <c r="CR245" s="23">
        <f t="shared" ca="1" si="261"/>
        <v>1.3206349206349208</v>
      </c>
      <c r="CS245" s="23">
        <f t="shared" ca="1" si="262"/>
        <v>0.79238095238095252</v>
      </c>
      <c r="CT245" s="23">
        <f t="shared" ca="1" si="263"/>
        <v>0.44021164021164028</v>
      </c>
      <c r="CU245" s="23">
        <f t="shared" ca="1" si="264"/>
        <v>0.23305322128851544</v>
      </c>
      <c r="CV245" s="23">
        <f t="shared" ca="1" si="265"/>
        <v>0.12005772005772007</v>
      </c>
      <c r="CW245" s="23">
        <f t="shared" ca="1" si="266"/>
        <v>6.0952380952380959E-2</v>
      </c>
      <c r="CX245" s="24">
        <f t="shared" ca="1" si="267"/>
        <v>-6.0952380952380959E-2</v>
      </c>
      <c r="CY245" s="24">
        <f t="shared" ca="1" si="268"/>
        <v>-0.12005772005772007</v>
      </c>
      <c r="CZ245" s="24">
        <f t="shared" ca="1" si="269"/>
        <v>-0.23305322128851544</v>
      </c>
      <c r="DA245" s="24">
        <f t="shared" ca="1" si="270"/>
        <v>-0.44021164021164028</v>
      </c>
      <c r="DB245" s="24">
        <f t="shared" ca="1" si="271"/>
        <v>-0.79238095238095252</v>
      </c>
      <c r="DC245" s="24">
        <f t="shared" ca="1" si="272"/>
        <v>-1.3206349206349208</v>
      </c>
      <c r="DD245" s="24">
        <f t="shared" ca="1" si="273"/>
        <v>-1.9809523809523812</v>
      </c>
      <c r="DF245" s="19" cm="1">
        <f t="array" aca="1" ref="DF245" ca="1">MAX(_xlfn._xlws.FILTER(CQ245:DD245,CQ245:DD245&lt;BJ245))</f>
        <v>-6.0952380952380959E-2</v>
      </c>
      <c r="DG245" s="19" cm="1">
        <f t="array" aca="1" ref="DG245" ca="1">MIN(_xlfn._xlws.FILTER(CQ245:DD245,CQ245:DD245&gt;BJ245))</f>
        <v>6.0952380952380959E-2</v>
      </c>
      <c r="DH245" s="2" cm="1">
        <f t="array" aca="1" ref="DH245" ca="1">_FV(EE245,"Fechamento anterior",TRUE)</f>
        <v>1.67</v>
      </c>
      <c r="DI245" s="36">
        <f t="shared" ca="1" si="251"/>
        <v>8.7949101796414627E-3</v>
      </c>
      <c r="DJ245" s="18">
        <f t="shared" ca="1" si="274"/>
        <v>1.5682095238095237</v>
      </c>
      <c r="DK245" s="18">
        <f t="shared" ca="1" si="275"/>
        <v>1.7717904761904761</v>
      </c>
      <c r="DL245" s="9"/>
      <c r="DM245" s="9"/>
      <c r="DN245" s="9"/>
      <c r="DO245" s="9"/>
      <c r="DP245" s="79">
        <v>7.3136502052164695E-2</v>
      </c>
      <c r="DQ245" s="79">
        <v>7.3136502052164695E-2</v>
      </c>
      <c r="DR245" s="79">
        <v>7.3136502052164695E-2</v>
      </c>
      <c r="DS245" s="79">
        <f t="shared" ca="1" si="252"/>
        <v>0.12190476190476192</v>
      </c>
      <c r="DT245" s="47"/>
      <c r="DU245" s="43">
        <f t="shared" si="253"/>
        <v>0.11409973707244027</v>
      </c>
      <c r="DV245" s="83">
        <f t="shared" ca="1" si="254"/>
        <v>2.2934999999999999</v>
      </c>
      <c r="DW245" s="83">
        <f t="shared" ca="1" si="255"/>
        <v>7.8554000000000004</v>
      </c>
      <c r="DX245" s="83">
        <f t="shared" ca="1" si="234"/>
        <v>-5.5619000000000005</v>
      </c>
      <c r="DY245" s="67"/>
      <c r="DZ245" s="67"/>
      <c r="EA245" s="85"/>
      <c r="EB245" s="44">
        <v>392500</v>
      </c>
      <c r="EC245" s="44" cm="1">
        <f t="array" aca="1" ref="EC245" ca="1">_FV(EE245,"Volume")</f>
        <v>725500</v>
      </c>
      <c r="EE245" s="2" t="e" vm="247">
        <v>#VALUE!</v>
      </c>
      <c r="EG245" s="10" cm="1">
        <f t="array" aca="1" ref="EG245" ca="1">_FV(EE245,"Ações em circulação",TRUE)</f>
        <v>50311580</v>
      </c>
      <c r="EH245" s="21">
        <f>VLOOKUP(BH245,Fundamentus!A:U,5,FALSE)</f>
        <v>0.11799999999999999</v>
      </c>
      <c r="EI245" s="2">
        <f t="shared" ca="1" si="256"/>
        <v>669399835.59322047</v>
      </c>
      <c r="EJ245" s="20">
        <v>-934804917.72813559</v>
      </c>
      <c r="EK245" s="20">
        <f t="shared" ca="1" si="257"/>
        <v>-831796235.70813572</v>
      </c>
      <c r="EM245" s="40" t="str">
        <f>IF(VLOOKUP(BH245,Fundamentus!A:U,3,FALSE)&lt;15,"Bom",IF(VLOOKUP(BH245,Fundamentus!A:U,3,FALSE)&gt;15,"Ruim","n/a"))</f>
        <v>Bom</v>
      </c>
      <c r="EN245" s="36" t="str">
        <f>IF(VLOOKUP(BH245,Fundamentus!A:U,4,FALSE)&lt;1,"Baixo",IF(VLOOKUP(BH245,Fundamentus!A:U,4,FALSE)&lt;1.5,"Moderado",IF(VLOOKUP(BH245,Fundamentus!A:U,4,FALSE)&gt;1.5,"Alto","n/a")))</f>
        <v>Baixo</v>
      </c>
      <c r="EO245" s="20" t="str">
        <f>IF(VLOOKUP(BH245,Fundamentus!A:U,8,FALSE)&lt;0,"Risco elevado",IF(VLOOKUP(BH245,Fundamentus!A:U,8,FALSE)&lt;1,"Saudável",IF(VLOOKUP(BH245,Fundamentus!A:U,8,FALSE)&lt;3,"Estável",IF(VLOOKUP(BH245,Fundamentus!A:U,8,FALSE)&gt;3,"Alerta","n/a"))))</f>
        <v>Risco elevado</v>
      </c>
      <c r="EP245" s="36" t="str">
        <f t="shared" si="258"/>
        <v>Ruim</v>
      </c>
      <c r="EQ245" s="20" t="str">
        <f>IF(VLOOKUP(BH245,Fundamentus!A:U,12,FALSE)&lt;2,"Subvalorizada",IF(VLOOKUP(BH245,Fundamentus!A:U,12,FALSE)&lt;6,"Muita barata",IF(VLOOKUP(BH245,Fundamentus!A:U,12,FALSE)&lt;6,"Barata",IF(VLOOKUP(BH245,Fundamentus!A:U,12,FALSE)&lt;8,"Atrativa",IF(VLOOKUP(BH245,Fundamentus!A:U,12,FALSE)&gt;8,"Supervalorizada","n/a")))))</f>
        <v>Subvalorizada</v>
      </c>
      <c r="ES245" s="20" t="str">
        <f>IF(VLOOKUP(BH245,Fundamentus!A:U,17,FALSE)&lt;0.1,"Fraco retorno",IF(VLOOKUP(BH245,Fundamentus!A:U,17,FALSE)&gt;0.1,"Bom retorno","n/a"))</f>
        <v>Fraco retorno</v>
      </c>
      <c r="ET245" s="20" t="str">
        <f>IF(VLOOKUP(BH245,Fundamentus!A:U,16,FALSE)&lt;0.1,"Ineficiente",IF(VLOOKUP(BH245,Fundamentus!A:U,16,FALSE)&gt;0.1,"Eficiente","n/a"))</f>
        <v>Ineficiente</v>
      </c>
      <c r="EU245" s="41" t="str">
        <f>IF(VLOOKUP(BH245,Fundamentus!A:U,16,FALSE)&lt;0.1,"Oper. Ineficiente",IF(VLOOKUP(BH245,Fundamentus!A:U,16,FALSE)&gt;0.1,"Oper.Eficiente","n/a"))</f>
        <v>Oper. Ineficiente</v>
      </c>
      <c r="EV245" s="42">
        <f>VLOOKUP(BH245,Fundamentus!A:U,14,FALSE)</f>
        <v>-1.2425999999999999</v>
      </c>
      <c r="EW245" s="20" t="str">
        <f>IF(VLOOKUP(BH245,Fundamentus!A:U,21,FALSE)&lt;0,"Negativo",IF(VLOOKUP(BH245,Fundamentus!A:U,21,FALSE)&lt;0.05,"Fraco",IF(VLOOKUP(BH245,Fundamentus!A:U,21,FALSE)&lt;0.1,"Bom",IF(VLOOKUP(BH245,Fundamentus!A:U,21,FALSE)&gt;0.1,"Muito bom","n/a"))))</f>
        <v>Negativo</v>
      </c>
      <c r="EY245" s="37" t="str">
        <f>IF(VLOOKUP(BH245,Fundamentus!A:U,15,FALSE)&gt;1,"Bom",IF(VLOOKUP(BH245,Fundamentus!A:U,15,FALSE)&lt;1,"Ruim","n/a"))</f>
        <v>Ruim</v>
      </c>
      <c r="EZ245" s="20" t="str">
        <f>IF(VLOOKUP(BH245,Fundamentus!A:U,20,FALSE)&lt;0.5,"Baixa",IF(VLOOKUP(BH245,Fundamentus!A:U,20,FALSE)&lt;1,"Moderada",IF(VLOOKUP(BH245,Fundamentus!A:U,20,FALSE)&lt;2,"Alerta",IF(VLOOKUP(BH245,Fundamentus!A:U,20,FALSE)&gt;2,"Alta","n/a"))))</f>
        <v>Alerta</v>
      </c>
    </row>
    <row r="246" spans="1:156" s="2" customFormat="1" ht="11.25" hidden="1" x14ac:dyDescent="0.2">
      <c r="A246" s="4">
        <v>3.9</v>
      </c>
      <c r="B246" s="4">
        <v>3.37</v>
      </c>
      <c r="C246" s="4">
        <v>3.33</v>
      </c>
      <c r="D246" s="4">
        <v>2.99</v>
      </c>
      <c r="E246" s="4">
        <v>3.15</v>
      </c>
      <c r="F246" s="4">
        <v>3.4</v>
      </c>
      <c r="G246" s="4">
        <v>3.55</v>
      </c>
      <c r="H246" s="4">
        <v>3.7</v>
      </c>
      <c r="I246" s="4">
        <v>3.74</v>
      </c>
      <c r="J246" s="4">
        <v>3.91</v>
      </c>
      <c r="K246" s="4">
        <v>3.5</v>
      </c>
      <c r="L246" s="4">
        <v>3.39</v>
      </c>
      <c r="M246" s="4">
        <v>3.5</v>
      </c>
      <c r="N246" s="4">
        <v>3.21</v>
      </c>
      <c r="O246" s="4">
        <v>3.4</v>
      </c>
      <c r="P246" s="4">
        <v>3.4</v>
      </c>
      <c r="Q246" s="4">
        <v>3.47</v>
      </c>
      <c r="R246" s="4">
        <v>3.05</v>
      </c>
      <c r="S246" s="4">
        <v>3.13</v>
      </c>
      <c r="T246" s="4">
        <v>3.05</v>
      </c>
      <c r="U246" s="4">
        <v>2.65</v>
      </c>
      <c r="V246" s="4">
        <v>2.65</v>
      </c>
      <c r="W246" s="4">
        <v>2.66</v>
      </c>
      <c r="X246" s="4">
        <v>2.4900000000000002</v>
      </c>
      <c r="Y246" s="4">
        <v>2.44</v>
      </c>
      <c r="Z246" s="4">
        <v>2.5</v>
      </c>
      <c r="AA246" s="4">
        <v>2.2999999999999998</v>
      </c>
      <c r="AB246" s="4">
        <v>2.62</v>
      </c>
      <c r="AC246" s="4">
        <v>2.8</v>
      </c>
      <c r="AD246" s="4">
        <v>2.93</v>
      </c>
      <c r="AE246" s="4">
        <v>2.99</v>
      </c>
      <c r="AF246" s="4">
        <v>2.57</v>
      </c>
      <c r="AG246" s="4">
        <v>2.64</v>
      </c>
      <c r="AH246" s="4">
        <v>2.2999999999999998</v>
      </c>
      <c r="AI246" s="4">
        <v>2.27</v>
      </c>
      <c r="AJ246" s="4">
        <v>2.15</v>
      </c>
      <c r="AK246" s="4">
        <v>2.61</v>
      </c>
      <c r="AL246" s="4">
        <v>2.6</v>
      </c>
      <c r="AM246" s="4">
        <v>3.05</v>
      </c>
      <c r="AN246" s="4">
        <v>2.91</v>
      </c>
      <c r="AO246" s="4">
        <v>2.59</v>
      </c>
      <c r="AP246" s="4">
        <v>2.5</v>
      </c>
      <c r="AQ246" s="4">
        <v>2.35</v>
      </c>
      <c r="AR246" s="4">
        <v>2.66</v>
      </c>
      <c r="AS246" s="4">
        <v>2.8</v>
      </c>
      <c r="AT246" s="4">
        <v>2.8</v>
      </c>
      <c r="AU246" s="4">
        <v>2.5449999999999999</v>
      </c>
      <c r="AV246" s="4">
        <v>3.02</v>
      </c>
      <c r="AW246" s="4">
        <v>3.01</v>
      </c>
      <c r="AX246" s="4">
        <v>2.89</v>
      </c>
      <c r="AY246" s="12">
        <v>3.03</v>
      </c>
      <c r="AZ246" s="12">
        <v>3.06</v>
      </c>
      <c r="BA246" s="12">
        <v>3.14</v>
      </c>
      <c r="BB246" s="18">
        <v>3</v>
      </c>
      <c r="BC246" s="63">
        <v>3.11</v>
      </c>
      <c r="BD246" s="63">
        <v>3.59</v>
      </c>
      <c r="BE246" s="63">
        <v>3.43</v>
      </c>
      <c r="BF246" s="63">
        <v>3.32</v>
      </c>
      <c r="BG246" s="91" cm="1">
        <f t="array" aca="1" ref="BG246" ca="1">_FV(EE246,"Preço")</f>
        <v>3.47</v>
      </c>
      <c r="BH246" s="93" t="s">
        <v>243</v>
      </c>
      <c r="BI246" s="32" cm="1">
        <f t="array" aca="1" ref="BI246" ca="1">_FV(EE246,"Beta")</f>
        <v>1.1329</v>
      </c>
      <c r="BJ246" s="96" cm="1">
        <f t="array" aca="1" ref="BJ246" ca="1">_FV(EE246,"Variação (%)",TRUE)</f>
        <v>3.2738000000000003E-2</v>
      </c>
      <c r="BK246" s="49"/>
      <c r="BL246" s="49"/>
      <c r="BN246" s="32"/>
      <c r="BO246" s="20" cm="1">
        <f t="array" aca="1" ref="BO246" ca="1">_FV(EE246,"Baixo")</f>
        <v>3.31</v>
      </c>
      <c r="BP246" s="20" cm="1">
        <f t="array" aca="1" ref="BP246" ca="1">_FV(EE246,"Alto")</f>
        <v>3.54</v>
      </c>
      <c r="BQ246" s="32"/>
      <c r="BR246" s="74" t="e">
        <f ca="1">SQRT(22.5*(BG246/VLOOKUP(BH246,Fundamentus!A:U,3,FALSE))*(BG246/VLOOKUP(BH246,Fundamentus!A:U,4,FALSE)))</f>
        <v>#NUM!</v>
      </c>
      <c r="BT246" s="73">
        <f t="shared" ca="1" si="235"/>
        <v>4.5180722891566376E-2</v>
      </c>
      <c r="BU246" s="36">
        <f t="shared" si="236"/>
        <v>-0.12051282051282045</v>
      </c>
      <c r="BV246" s="8"/>
      <c r="BW246" s="72">
        <f t="shared" si="237"/>
        <v>2.15</v>
      </c>
      <c r="BX246" s="72">
        <f t="shared" si="238"/>
        <v>2.9847413793103446</v>
      </c>
      <c r="BY246" s="72">
        <f t="shared" si="239"/>
        <v>3.91</v>
      </c>
      <c r="BZ246" s="17"/>
      <c r="CA246" s="17"/>
      <c r="CB246" s="43">
        <f t="shared" si="240"/>
        <v>3.1396568855037299</v>
      </c>
      <c r="CC246" s="18">
        <f t="shared" si="241"/>
        <v>3.4887628865979536</v>
      </c>
      <c r="CD246" s="43">
        <f t="shared" si="242"/>
        <v>3.8378688876921774</v>
      </c>
      <c r="CE246" s="98">
        <f t="shared" ca="1" si="243"/>
        <v>-5.3745528690838339E-2</v>
      </c>
      <c r="CF246" s="17"/>
      <c r="CG246" s="20">
        <f t="shared" si="244"/>
        <v>0.58333333333333348</v>
      </c>
      <c r="CH246" s="20">
        <f t="shared" si="245"/>
        <v>1.3666666666666667</v>
      </c>
      <c r="CI246" s="20">
        <f t="shared" si="246"/>
        <v>2.3433333333333337</v>
      </c>
      <c r="CJ246" s="49">
        <f t="shared" si="247"/>
        <v>3.1266666666666669</v>
      </c>
      <c r="CK246" s="20">
        <f t="shared" si="248"/>
        <v>4.1033333333333335</v>
      </c>
      <c r="CL246" s="20">
        <f t="shared" si="249"/>
        <v>4.8866666666666667</v>
      </c>
      <c r="CM246" s="20">
        <f t="shared" si="250"/>
        <v>5.8633333333333342</v>
      </c>
      <c r="CN246" s="2" cm="1">
        <f t="array" aca="1" ref="CN246" ca="1">MAX(_xlfn._xlws.FILTER(CG246:CM246,CG246:CM246&lt;BG246))</f>
        <v>3.1266666666666669</v>
      </c>
      <c r="CO246" s="2" cm="1">
        <f t="array" aca="1" ref="CO246" ca="1">MIN(_xlfn._xlws.FILTER($CG246:$CM246,$CG246:$CM246&gt;BG246))</f>
        <v>4.1033333333333335</v>
      </c>
      <c r="CP246" s="19">
        <f t="shared" ca="1" si="259"/>
        <v>0.312366737739872</v>
      </c>
      <c r="CQ246" s="23">
        <f t="shared" ca="1" si="260"/>
        <v>-0.156183368869936</v>
      </c>
      <c r="CR246" s="23">
        <f t="shared" ca="1" si="261"/>
        <v>-0.10412224591329067</v>
      </c>
      <c r="CS246" s="23">
        <f t="shared" ca="1" si="262"/>
        <v>-6.24733475479744E-2</v>
      </c>
      <c r="CT246" s="23">
        <f t="shared" ca="1" si="263"/>
        <v>-3.4707415304430222E-2</v>
      </c>
      <c r="CU246" s="23">
        <f t="shared" ca="1" si="264"/>
        <v>-1.8374513984698353E-2</v>
      </c>
      <c r="CV246" s="23">
        <f t="shared" ca="1" si="265"/>
        <v>-9.4656587193900615E-3</v>
      </c>
      <c r="CW246" s="23">
        <f t="shared" ca="1" si="266"/>
        <v>-4.8056421190749536E-3</v>
      </c>
      <c r="CX246" s="24">
        <f t="shared" ca="1" si="267"/>
        <v>4.8056421190749536E-3</v>
      </c>
      <c r="CY246" s="24">
        <f t="shared" ca="1" si="268"/>
        <v>9.4656587193900615E-3</v>
      </c>
      <c r="CZ246" s="24">
        <f t="shared" ca="1" si="269"/>
        <v>1.8374513984698353E-2</v>
      </c>
      <c r="DA246" s="24">
        <f t="shared" ca="1" si="270"/>
        <v>3.4707415304430222E-2</v>
      </c>
      <c r="DB246" s="24">
        <f t="shared" ca="1" si="271"/>
        <v>6.24733475479744E-2</v>
      </c>
      <c r="DC246" s="24">
        <f t="shared" ca="1" si="272"/>
        <v>0.10412224591329067</v>
      </c>
      <c r="DD246" s="24">
        <f t="shared" ca="1" si="273"/>
        <v>0.156183368869936</v>
      </c>
      <c r="DF246" s="19" cm="1">
        <f t="array" aca="1" ref="DF246" ca="1">MAX(_xlfn._xlws.FILTER(CQ246:DD246,CQ246:DD246&lt;BJ246))</f>
        <v>1.8374513984698353E-2</v>
      </c>
      <c r="DG246" s="19" cm="1">
        <f t="array" aca="1" ref="DG246" ca="1">MIN(_xlfn._xlws.FILTER(CQ246:DD246,CQ246:DD246&gt;BJ246))</f>
        <v>3.4707415304430222E-2</v>
      </c>
      <c r="DH246" s="2" cm="1">
        <f t="array" aca="1" ref="DH246" ca="1">_FV(EE246,"Fechamento anterior",TRUE)</f>
        <v>3.36</v>
      </c>
      <c r="DI246" s="36">
        <f t="shared" ca="1" si="251"/>
        <v>0.87942619453925586</v>
      </c>
      <c r="DJ246" s="18">
        <f t="shared" ca="1" si="274"/>
        <v>3.4217383669885861</v>
      </c>
      <c r="DK246" s="18">
        <f t="shared" ca="1" si="275"/>
        <v>3.4766169154228854</v>
      </c>
      <c r="DL246" s="9"/>
      <c r="DM246" s="9"/>
      <c r="DN246" s="9"/>
      <c r="DO246" s="9"/>
      <c r="DP246" s="79">
        <v>6.1637708696532208E-3</v>
      </c>
      <c r="DQ246" s="79">
        <v>1.0843373493975902E-2</v>
      </c>
      <c r="DR246" s="79">
        <v>1.8386841916253682E-2</v>
      </c>
      <c r="DS246" s="79">
        <f t="shared" ca="1" si="252"/>
        <v>1.633290131973187E-2</v>
      </c>
      <c r="DT246" s="47"/>
      <c r="DU246" s="43">
        <f t="shared" si="253"/>
        <v>0.17455300054711179</v>
      </c>
      <c r="DV246" s="83">
        <f t="shared" ca="1" si="254"/>
        <v>1.5589999999999999</v>
      </c>
      <c r="DW246" s="83">
        <f t="shared" ca="1" si="255"/>
        <v>-2.1409000000000002</v>
      </c>
      <c r="DX246" s="83">
        <f t="shared" ca="1" si="234"/>
        <v>3.6999000000000004</v>
      </c>
      <c r="DY246" s="67"/>
      <c r="DZ246" s="67"/>
      <c r="EA246" s="85"/>
      <c r="EB246" s="44">
        <v>1911800</v>
      </c>
      <c r="EC246" s="44" cm="1">
        <f t="array" aca="1" ref="EC246" ca="1">_FV(EE246,"Volume")</f>
        <v>1581400</v>
      </c>
      <c r="EE246" s="2" t="e" vm="248">
        <v>#VALUE!</v>
      </c>
      <c r="EG246" s="10" cm="1">
        <f t="array" aca="1" ref="EG246" ca="1">_FV(EE246,"Ações em circulação",TRUE)</f>
        <v>406934400</v>
      </c>
      <c r="EH246" s="21">
        <f>VLOOKUP(BH246,Fundamentus!A:U,5,FALSE)</f>
        <v>0.29599999999999999</v>
      </c>
      <c r="EI246" s="2">
        <f t="shared" ca="1" si="256"/>
        <v>4770480972.9729729</v>
      </c>
      <c r="EJ246" s="20">
        <v>-140122911.43783784</v>
      </c>
      <c r="EK246" s="20">
        <f t="shared" ca="1" si="257"/>
        <v>-146453765.87027028</v>
      </c>
      <c r="EM246" s="40" t="str">
        <f>IF(VLOOKUP(BH246,Fundamentus!A:U,3,FALSE)&lt;15,"Bom",IF(VLOOKUP(BH246,Fundamentus!A:U,3,FALSE)&gt;15,"Ruim","n/a"))</f>
        <v>Bom</v>
      </c>
      <c r="EN246" s="36" t="str">
        <f>IF(VLOOKUP(BH246,Fundamentus!A:U,4,FALSE)&lt;1,"Baixo",IF(VLOOKUP(BH246,Fundamentus!A:U,4,FALSE)&lt;1.5,"Moderado",IF(VLOOKUP(BH246,Fundamentus!A:U,4,FALSE)&gt;1.5,"Alto","n/a")))</f>
        <v>Baixo</v>
      </c>
      <c r="EO246" s="20" t="str">
        <f>IF(VLOOKUP(BH246,Fundamentus!A:U,8,FALSE)&lt;0,"Risco elevado",IF(VLOOKUP(BH246,Fundamentus!A:U,8,FALSE)&lt;1,"Saudável",IF(VLOOKUP(BH246,Fundamentus!A:U,8,FALSE)&lt;3,"Estável",IF(VLOOKUP(BH246,Fundamentus!A:U,8,FALSE)&gt;3,"Alerta","n/a"))))</f>
        <v>Alerta</v>
      </c>
      <c r="EP246" s="36" t="str">
        <f t="shared" si="258"/>
        <v>Ruim</v>
      </c>
      <c r="EQ246" s="20" t="str">
        <f>IF(VLOOKUP(BH246,Fundamentus!A:U,12,FALSE)&lt;2,"Subvalorizada",IF(VLOOKUP(BH246,Fundamentus!A:U,12,FALSE)&lt;6,"Muita barata",IF(VLOOKUP(BH246,Fundamentus!A:U,12,FALSE)&lt;6,"Barata",IF(VLOOKUP(BH246,Fundamentus!A:U,12,FALSE)&lt;8,"Atrativa",IF(VLOOKUP(BH246,Fundamentus!A:U,12,FALSE)&gt;8,"Supervalorizada","n/a")))))</f>
        <v>Muita barata</v>
      </c>
      <c r="ES246" s="20" t="str">
        <f>IF(VLOOKUP(BH246,Fundamentus!A:U,17,FALSE)&lt;0.1,"Fraco retorno",IF(VLOOKUP(BH246,Fundamentus!A:U,17,FALSE)&gt;0.1,"Bom retorno","n/a"))</f>
        <v>Fraco retorno</v>
      </c>
      <c r="ET246" s="20" t="str">
        <f>IF(VLOOKUP(BH246,Fundamentus!A:U,16,FALSE)&lt;0.1,"Ineficiente",IF(VLOOKUP(BH246,Fundamentus!A:U,16,FALSE)&gt;0.1,"Eficiente","n/a"))</f>
        <v>Ineficiente</v>
      </c>
      <c r="EU246" s="41" t="str">
        <f>IF(VLOOKUP(BH246,Fundamentus!A:U,16,FALSE)&lt;0.1,"Oper. Ineficiente",IF(VLOOKUP(BH246,Fundamentus!A:U,16,FALSE)&gt;0.1,"Oper.Eficiente","n/a"))</f>
        <v>Oper. Ineficiente</v>
      </c>
      <c r="EV246" s="42">
        <f>VLOOKUP(BH246,Fundamentus!A:U,14,FALSE)</f>
        <v>-3.0700000000000002E-2</v>
      </c>
      <c r="EW246" s="20" t="str">
        <f>IF(VLOOKUP(BH246,Fundamentus!A:U,21,FALSE)&lt;0,"Negativo",IF(VLOOKUP(BH246,Fundamentus!A:U,21,FALSE)&lt;0.05,"Fraco",IF(VLOOKUP(BH246,Fundamentus!A:U,21,FALSE)&lt;0.1,"Bom",IF(VLOOKUP(BH246,Fundamentus!A:U,21,FALSE)&gt;0.1,"Muito bom","n/a"))))</f>
        <v>Muito bom</v>
      </c>
      <c r="EY246" s="37" t="str">
        <f>IF(VLOOKUP(BH246,Fundamentus!A:U,15,FALSE)&gt;1,"Bom",IF(VLOOKUP(BH246,Fundamentus!A:U,15,FALSE)&lt;1,"Ruim","n/a"))</f>
        <v>Bom</v>
      </c>
      <c r="EZ246" s="20" t="str">
        <f>IF(VLOOKUP(BH246,Fundamentus!A:U,20,FALSE)&lt;0.5,"Baixa",IF(VLOOKUP(BH246,Fundamentus!A:U,20,FALSE)&lt;1,"Moderada",IF(VLOOKUP(BH246,Fundamentus!A:U,20,FALSE)&lt;2,"Alerta",IF(VLOOKUP(BH246,Fundamentus!A:U,20,FALSE)&gt;2,"Alta","n/a"))))</f>
        <v>Moderada</v>
      </c>
    </row>
    <row r="247" spans="1:156" s="2" customFormat="1" ht="11.25" hidden="1" x14ac:dyDescent="0.2">
      <c r="A247" s="4">
        <v>3.03</v>
      </c>
      <c r="B247" s="4">
        <v>2.71</v>
      </c>
      <c r="C247" s="4">
        <v>2.5099999999999998</v>
      </c>
      <c r="D247" s="4">
        <v>1.95</v>
      </c>
      <c r="E247" s="4">
        <v>1.87</v>
      </c>
      <c r="F247" s="4">
        <v>1.65</v>
      </c>
      <c r="G247" s="4">
        <v>1.7</v>
      </c>
      <c r="H247" s="4">
        <v>1.79</v>
      </c>
      <c r="I247" s="4">
        <v>1.87</v>
      </c>
      <c r="J247" s="4">
        <v>1.88</v>
      </c>
      <c r="K247" s="4">
        <v>1.85</v>
      </c>
      <c r="L247" s="4">
        <v>1.81</v>
      </c>
      <c r="M247" s="4">
        <v>2.0299999999999998</v>
      </c>
      <c r="N247" s="4">
        <v>1.86</v>
      </c>
      <c r="O247" s="4">
        <v>1.92</v>
      </c>
      <c r="P247" s="4">
        <v>2.2000000000000002</v>
      </c>
      <c r="Q247" s="4">
        <v>2.2599999999999998</v>
      </c>
      <c r="R247" s="4">
        <v>2.12</v>
      </c>
      <c r="S247" s="4">
        <v>1.93</v>
      </c>
      <c r="T247" s="4">
        <v>1.85</v>
      </c>
      <c r="U247" s="4">
        <v>1.9</v>
      </c>
      <c r="V247" s="4">
        <v>1.82</v>
      </c>
      <c r="W247" s="4">
        <v>1.89</v>
      </c>
      <c r="X247" s="4">
        <v>1.7</v>
      </c>
      <c r="Y247" s="4">
        <v>1.7</v>
      </c>
      <c r="Z247" s="4">
        <v>1.68</v>
      </c>
      <c r="AA247" s="4">
        <v>1.48</v>
      </c>
      <c r="AB247" s="4">
        <v>1.41</v>
      </c>
      <c r="AC247" s="4">
        <v>1.31</v>
      </c>
      <c r="AD247" s="4">
        <v>1.25</v>
      </c>
      <c r="AE247" s="4">
        <v>1.26</v>
      </c>
      <c r="AF247" s="4">
        <v>1.28</v>
      </c>
      <c r="AG247" s="4">
        <v>1.51</v>
      </c>
      <c r="AH247" s="4">
        <v>1.34</v>
      </c>
      <c r="AI247" s="4">
        <v>1.27</v>
      </c>
      <c r="AJ247" s="4">
        <v>1.29</v>
      </c>
      <c r="AK247" s="4">
        <v>1.33</v>
      </c>
      <c r="AL247" s="4">
        <v>1.44</v>
      </c>
      <c r="AM247" s="4">
        <v>1.49</v>
      </c>
      <c r="AN247" s="4">
        <v>1.4</v>
      </c>
      <c r="AO247" s="4">
        <v>1.44</v>
      </c>
      <c r="AP247" s="4">
        <v>1.55</v>
      </c>
      <c r="AQ247" s="4">
        <v>1.51</v>
      </c>
      <c r="AR247" s="4">
        <v>1.46</v>
      </c>
      <c r="AS247" s="4">
        <v>1.4</v>
      </c>
      <c r="AT247" s="4">
        <v>1.38</v>
      </c>
      <c r="AU247" s="4">
        <v>1.41</v>
      </c>
      <c r="AV247" s="4">
        <v>1.44</v>
      </c>
      <c r="AW247" s="4">
        <v>1.34</v>
      </c>
      <c r="AX247" s="4">
        <v>1.34</v>
      </c>
      <c r="AY247" s="12">
        <v>1.45</v>
      </c>
      <c r="AZ247" s="12">
        <v>1.44</v>
      </c>
      <c r="BA247" s="12">
        <v>1.38</v>
      </c>
      <c r="BB247" s="18">
        <v>2</v>
      </c>
      <c r="BC247" s="63">
        <v>1.81</v>
      </c>
      <c r="BD247" s="63">
        <v>1.65</v>
      </c>
      <c r="BE247" s="63">
        <v>1.62</v>
      </c>
      <c r="BF247" s="63">
        <v>1.66</v>
      </c>
      <c r="BG247" s="91" cm="1">
        <f t="array" aca="1" ref="BG247" ca="1">_FV(EE247,"Preço")</f>
        <v>1.75</v>
      </c>
      <c r="BH247" s="93" t="s">
        <v>244</v>
      </c>
      <c r="BI247" s="32" cm="1">
        <f t="array" aca="1" ref="BI247" ca="1">_FV(EE247,"Beta")</f>
        <v>1.8419000000000001</v>
      </c>
      <c r="BJ247" s="96" cm="1">
        <f t="array" aca="1" ref="BJ247" ca="1">_FV(EE247,"Variação (%)",TRUE)</f>
        <v>4.1666999999999996E-2</v>
      </c>
      <c r="BK247" s="49"/>
      <c r="BL247" s="49"/>
      <c r="BN247" s="32"/>
      <c r="BO247" s="20" cm="1">
        <f t="array" aca="1" ref="BO247" ca="1">_FV(EE247,"Baixo")</f>
        <v>1.66</v>
      </c>
      <c r="BP247" s="20" cm="1">
        <f t="array" aca="1" ref="BP247" ca="1">_FV(EE247,"Alto")</f>
        <v>1.75</v>
      </c>
      <c r="BQ247" s="32"/>
      <c r="BR247" s="74">
        <f ca="1">SQRT(22.5*(BG247/VLOOKUP(BH247,Fundamentus!A:U,3,FALSE))*(BG247/VLOOKUP(BH247,Fundamentus!A:U,4,FALSE)))</f>
        <v>66.675066675100013</v>
      </c>
      <c r="BT247" s="73">
        <f t="shared" ca="1" si="235"/>
        <v>5.4216867469879568E-2</v>
      </c>
      <c r="BU247" s="36">
        <f t="shared" si="236"/>
        <v>-0.46534653465346526</v>
      </c>
      <c r="BV247" s="8"/>
      <c r="BW247" s="72">
        <f t="shared" si="237"/>
        <v>1.25</v>
      </c>
      <c r="BX247" s="72">
        <f t="shared" si="238"/>
        <v>1.6865517241379311</v>
      </c>
      <c r="BY247" s="72">
        <f t="shared" si="239"/>
        <v>3.03</v>
      </c>
      <c r="BZ247" s="17"/>
      <c r="CA247" s="17"/>
      <c r="CB247" s="43">
        <f t="shared" si="240"/>
        <v>1.4175830225543498</v>
      </c>
      <c r="CC247" s="18">
        <f t="shared" si="241"/>
        <v>1.5648922211809122</v>
      </c>
      <c r="CD247" s="43">
        <f t="shared" si="242"/>
        <v>1.7122014198074746</v>
      </c>
      <c r="CE247" s="98">
        <f t="shared" ca="1" si="243"/>
        <v>1.2565934819070397</v>
      </c>
      <c r="CF247" s="17"/>
      <c r="CG247" s="20">
        <f t="shared" si="244"/>
        <v>-0.85000000000000009</v>
      </c>
      <c r="CH247" s="20">
        <f t="shared" si="245"/>
        <v>0.19999999999999996</v>
      </c>
      <c r="CI247" s="20">
        <f t="shared" si="246"/>
        <v>0.92999999999999972</v>
      </c>
      <c r="CJ247" s="49">
        <f t="shared" si="247"/>
        <v>1.9799999999999998</v>
      </c>
      <c r="CK247" s="20">
        <f t="shared" si="248"/>
        <v>2.7099999999999995</v>
      </c>
      <c r="CL247" s="20">
        <f t="shared" si="249"/>
        <v>3.76</v>
      </c>
      <c r="CM247" s="20">
        <f t="shared" si="250"/>
        <v>4.4899999999999993</v>
      </c>
      <c r="CN247" s="2" cm="1">
        <f t="array" aca="1" ref="CN247" ca="1">MAX(_xlfn._xlws.FILTER(CG247:CM247,CG247:CM247&lt;BG247))</f>
        <v>0.92999999999999972</v>
      </c>
      <c r="CO247" s="2" cm="1">
        <f t="array" aca="1" ref="CO247" ca="1">MIN(_xlfn._xlws.FILTER($CG247:$CM247,$CG247:$CM247&gt;BG247))</f>
        <v>1.9799999999999998</v>
      </c>
      <c r="CP247" s="19">
        <f t="shared" ca="1" si="259"/>
        <v>1.1290322580645165</v>
      </c>
      <c r="CQ247" s="23">
        <f t="shared" ca="1" si="260"/>
        <v>-0.56451612903225823</v>
      </c>
      <c r="CR247" s="23">
        <f t="shared" ca="1" si="261"/>
        <v>-0.37634408602150549</v>
      </c>
      <c r="CS247" s="23">
        <f t="shared" ca="1" si="262"/>
        <v>-0.2258064516129033</v>
      </c>
      <c r="CT247" s="23">
        <f t="shared" ca="1" si="263"/>
        <v>-0.12544802867383517</v>
      </c>
      <c r="CU247" s="23">
        <f t="shared" ca="1" si="264"/>
        <v>-6.6413662239089205E-2</v>
      </c>
      <c r="CV247" s="23">
        <f t="shared" ca="1" si="265"/>
        <v>-3.4213098729227773E-2</v>
      </c>
      <c r="CW247" s="23">
        <f t="shared" ca="1" si="266"/>
        <v>-1.7369727047146406E-2</v>
      </c>
      <c r="CX247" s="24">
        <f t="shared" ca="1" si="267"/>
        <v>1.7369727047146406E-2</v>
      </c>
      <c r="CY247" s="24">
        <f t="shared" ca="1" si="268"/>
        <v>3.4213098729227773E-2</v>
      </c>
      <c r="CZ247" s="24">
        <f t="shared" ca="1" si="269"/>
        <v>6.6413662239089205E-2</v>
      </c>
      <c r="DA247" s="24">
        <f t="shared" ca="1" si="270"/>
        <v>0.12544802867383517</v>
      </c>
      <c r="DB247" s="24">
        <f t="shared" ca="1" si="271"/>
        <v>0.2258064516129033</v>
      </c>
      <c r="DC247" s="24">
        <f t="shared" ca="1" si="272"/>
        <v>0.37634408602150549</v>
      </c>
      <c r="DD247" s="24">
        <f t="shared" ca="1" si="273"/>
        <v>0.56451612903225823</v>
      </c>
      <c r="DF247" s="19" cm="1">
        <f t="array" aca="1" ref="DF247" ca="1">MAX(_xlfn._xlws.FILTER(CQ247:DD247,CQ247:DD247&lt;BJ247))</f>
        <v>3.4213098729227773E-2</v>
      </c>
      <c r="DG247" s="19" cm="1">
        <f t="array" aca="1" ref="DG247" ca="1">MIN(_xlfn._xlws.FILTER(CQ247:DD247,CQ247:DD247&gt;BJ247))</f>
        <v>6.6413662239089205E-2</v>
      </c>
      <c r="DH247" s="2" cm="1">
        <f t="array" aca="1" ref="DH247" ca="1">_FV(EE247,"Fechamento anterior",TRUE)</f>
        <v>1.68</v>
      </c>
      <c r="DI247" s="36">
        <f t="shared" ca="1" si="251"/>
        <v>0.23147321428571679</v>
      </c>
      <c r="DJ247" s="18">
        <f t="shared" ca="1" si="274"/>
        <v>1.7374780058651025</v>
      </c>
      <c r="DK247" s="18">
        <f t="shared" ca="1" si="275"/>
        <v>1.7915749525616698</v>
      </c>
      <c r="DL247" s="9"/>
      <c r="DM247" s="9"/>
      <c r="DN247" s="9"/>
      <c r="DO247" s="9"/>
      <c r="DP247" s="79">
        <v>5.1539582145733231E-2</v>
      </c>
      <c r="DQ247" s="79">
        <v>5.5603279968762208E-2</v>
      </c>
      <c r="DR247" s="79">
        <v>5.5603279968762208E-2</v>
      </c>
      <c r="DS247" s="79">
        <f t="shared" ca="1" si="252"/>
        <v>3.2200563509861432E-2</v>
      </c>
      <c r="DT247" s="47"/>
      <c r="DU247" s="43">
        <f t="shared" si="253"/>
        <v>7.3654599313281194E-2</v>
      </c>
      <c r="DV247" s="83">
        <f t="shared" ca="1" si="254"/>
        <v>2.2680000000000002</v>
      </c>
      <c r="DW247" s="83">
        <f t="shared" ca="1" si="255"/>
        <v>-2.3247999999999998</v>
      </c>
      <c r="DX247" s="83">
        <f t="shared" ca="1" si="234"/>
        <v>4.5928000000000004</v>
      </c>
      <c r="DY247" s="67"/>
      <c r="DZ247" s="67"/>
      <c r="EA247" s="85"/>
      <c r="EB247" s="44">
        <v>6600</v>
      </c>
      <c r="EC247" s="44" cm="1">
        <f t="array" aca="1" ref="EC247" ca="1">_FV(EE247,"Volume")</f>
        <v>42200</v>
      </c>
      <c r="EE247" s="2" t="e" vm="249">
        <v>#VALUE!</v>
      </c>
      <c r="EG247" s="10" cm="1">
        <f t="array" aca="1" ref="EG247" ca="1">_FV(EE247,"Ações em circulação",TRUE)</f>
        <v>44605950</v>
      </c>
      <c r="EH247" s="21">
        <f>VLOOKUP(BH247,Fundamentus!A:U,5,FALSE)</f>
        <v>16.416</v>
      </c>
      <c r="EI247" s="2">
        <f t="shared" ca="1" si="256"/>
        <v>4755142.0869883038</v>
      </c>
      <c r="EJ247" s="20">
        <v>-242613914.09144738</v>
      </c>
      <c r="EK247" s="20">
        <f t="shared" ca="1" si="257"/>
        <v>-255767680.51809207</v>
      </c>
      <c r="EM247" s="40" t="str">
        <f>IF(VLOOKUP(BH247,Fundamentus!A:U,3,FALSE)&lt;15,"Bom",IF(VLOOKUP(BH247,Fundamentus!A:U,3,FALSE)&gt;15,"Ruim","n/a"))</f>
        <v>Bom</v>
      </c>
      <c r="EN247" s="36" t="str">
        <f>IF(VLOOKUP(BH247,Fundamentus!A:U,4,FALSE)&lt;1,"Baixo",IF(VLOOKUP(BH247,Fundamentus!A:U,4,FALSE)&lt;1.5,"Moderado",IF(VLOOKUP(BH247,Fundamentus!A:U,4,FALSE)&gt;1.5,"Alto","n/a")))</f>
        <v>Baixo</v>
      </c>
      <c r="EO247" s="20" t="str">
        <f>IF(VLOOKUP(BH247,Fundamentus!A:U,8,FALSE)&lt;0,"Risco elevado",IF(VLOOKUP(BH247,Fundamentus!A:U,8,FALSE)&lt;1,"Saudável",IF(VLOOKUP(BH247,Fundamentus!A:U,8,FALSE)&lt;3,"Estável",IF(VLOOKUP(BH247,Fundamentus!A:U,8,FALSE)&gt;3,"Alerta","n/a"))))</f>
        <v>Risco elevado</v>
      </c>
      <c r="EP247" s="36" t="str">
        <f t="shared" si="258"/>
        <v>Bom</v>
      </c>
      <c r="EQ247" s="20" t="str">
        <f>IF(VLOOKUP(BH247,Fundamentus!A:U,12,FALSE)&lt;2,"Subvalorizada",IF(VLOOKUP(BH247,Fundamentus!A:U,12,FALSE)&lt;6,"Muita barata",IF(VLOOKUP(BH247,Fundamentus!A:U,12,FALSE)&lt;6,"Barata",IF(VLOOKUP(BH247,Fundamentus!A:U,12,FALSE)&lt;8,"Atrativa",IF(VLOOKUP(BH247,Fundamentus!A:U,12,FALSE)&gt;8,"Supervalorizada","n/a")))))</f>
        <v>Subvalorizada</v>
      </c>
      <c r="ES247" s="20" t="str">
        <f>IF(VLOOKUP(BH247,Fundamentus!A:U,17,FALSE)&lt;0.1,"Fraco retorno",IF(VLOOKUP(BH247,Fundamentus!A:U,17,FALSE)&gt;0.1,"Bom retorno","n/a"))</f>
        <v>Bom retorno</v>
      </c>
      <c r="ET247" s="20" t="str">
        <f>IF(VLOOKUP(BH247,Fundamentus!A:U,16,FALSE)&lt;0.1,"Ineficiente",IF(VLOOKUP(BH247,Fundamentus!A:U,16,FALSE)&gt;0.1,"Eficiente","n/a"))</f>
        <v>Ineficiente</v>
      </c>
      <c r="EU247" s="41" t="str">
        <f>IF(VLOOKUP(BH247,Fundamentus!A:U,16,FALSE)&lt;0.1,"Oper. Ineficiente",IF(VLOOKUP(BH247,Fundamentus!A:U,16,FALSE)&gt;0.1,"Oper.Eficiente","n/a"))</f>
        <v>Oper. Ineficiente</v>
      </c>
      <c r="EV247" s="42">
        <f>VLOOKUP(BH247,Fundamentus!A:U,14,FALSE)</f>
        <v>-53.787599999999998</v>
      </c>
      <c r="EW247" s="20" t="str">
        <f>IF(VLOOKUP(BH247,Fundamentus!A:U,21,FALSE)&lt;0,"Negativo",IF(VLOOKUP(BH247,Fundamentus!A:U,21,FALSE)&lt;0.05,"Fraco",IF(VLOOKUP(BH247,Fundamentus!A:U,21,FALSE)&lt;0.1,"Bom",IF(VLOOKUP(BH247,Fundamentus!A:U,21,FALSE)&gt;0.1,"Muito bom","n/a"))))</f>
        <v>Negativo</v>
      </c>
      <c r="EY247" s="37" t="str">
        <f>IF(VLOOKUP(BH247,Fundamentus!A:U,15,FALSE)&gt;1,"Bom",IF(VLOOKUP(BH247,Fundamentus!A:U,15,FALSE)&lt;1,"Ruim","n/a"))</f>
        <v>Ruim</v>
      </c>
      <c r="EZ247" s="20" t="str">
        <f>IF(VLOOKUP(BH247,Fundamentus!A:U,20,FALSE)&lt;0.5,"Baixa",IF(VLOOKUP(BH247,Fundamentus!A:U,20,FALSE)&lt;1,"Moderada",IF(VLOOKUP(BH247,Fundamentus!A:U,20,FALSE)&lt;2,"Alerta",IF(VLOOKUP(BH247,Fundamentus!A:U,20,FALSE)&gt;2,"Alta","n/a"))))</f>
        <v>Baixa</v>
      </c>
    </row>
    <row r="248" spans="1:156" s="2" customFormat="1" ht="11.25" hidden="1" x14ac:dyDescent="0.2">
      <c r="A248" s="4">
        <v>0.73</v>
      </c>
      <c r="B248" s="4">
        <v>0.71</v>
      </c>
      <c r="C248" s="4">
        <v>0.63</v>
      </c>
      <c r="D248" s="4">
        <v>0.59</v>
      </c>
      <c r="E248" s="4">
        <v>0.6</v>
      </c>
      <c r="F248" s="4">
        <v>0.57999999999999996</v>
      </c>
      <c r="G248" s="4">
        <v>0.5</v>
      </c>
      <c r="H248" s="4">
        <v>4.34</v>
      </c>
      <c r="I248" s="4">
        <v>5.34</v>
      </c>
      <c r="J248" s="4">
        <v>6.24</v>
      </c>
      <c r="K248" s="4">
        <v>5.91</v>
      </c>
      <c r="L248" s="4">
        <v>4.3899999999999997</v>
      </c>
      <c r="M248" s="4">
        <v>4.4000000000000004</v>
      </c>
      <c r="N248" s="4">
        <v>4.1900000000000004</v>
      </c>
      <c r="O248" s="4">
        <v>4.25</v>
      </c>
      <c r="P248" s="4">
        <v>4.4800000000000004</v>
      </c>
      <c r="Q248" s="4">
        <v>4.6500000000000004</v>
      </c>
      <c r="R248" s="4">
        <v>4.95</v>
      </c>
      <c r="S248" s="4">
        <v>5.09</v>
      </c>
      <c r="T248" s="4">
        <v>5.23</v>
      </c>
      <c r="U248" s="4">
        <v>5.2</v>
      </c>
      <c r="V248" s="4">
        <v>5.26</v>
      </c>
      <c r="W248" s="4">
        <v>4.83</v>
      </c>
      <c r="X248" s="4">
        <v>4.71</v>
      </c>
      <c r="Y248" s="4">
        <v>4.38</v>
      </c>
      <c r="Z248" s="4">
        <v>4.41</v>
      </c>
      <c r="AA248" s="4">
        <v>4.4800000000000004</v>
      </c>
      <c r="AB248" s="4">
        <v>4.0999999999999996</v>
      </c>
      <c r="AC248" s="4">
        <v>1</v>
      </c>
      <c r="AD248" s="4">
        <v>1.46</v>
      </c>
      <c r="AE248" s="4">
        <v>1.6</v>
      </c>
      <c r="AF248" s="4">
        <v>1.46</v>
      </c>
      <c r="AG248" s="4">
        <v>1.39</v>
      </c>
      <c r="AH248" s="4">
        <v>1.35</v>
      </c>
      <c r="AI248" s="4">
        <v>1.33</v>
      </c>
      <c r="AJ248" s="4">
        <v>1.34</v>
      </c>
      <c r="AK248" s="4">
        <v>1.47</v>
      </c>
      <c r="AL248" s="4">
        <v>1.43</v>
      </c>
      <c r="AM248" s="4">
        <v>1.55</v>
      </c>
      <c r="AN248" s="4">
        <v>1.65</v>
      </c>
      <c r="AO248" s="4">
        <v>1.45</v>
      </c>
      <c r="AP248" s="4">
        <v>1.28</v>
      </c>
      <c r="AQ248" s="4">
        <v>1.22</v>
      </c>
      <c r="AR248" s="4">
        <v>1.1299999999999999</v>
      </c>
      <c r="AS248" s="4">
        <v>1.1599999999999999</v>
      </c>
      <c r="AT248" s="4">
        <v>1.19</v>
      </c>
      <c r="AU248" s="4">
        <v>1.2749999999999999</v>
      </c>
      <c r="AV248" s="4">
        <v>1.06</v>
      </c>
      <c r="AW248" s="4">
        <v>0.91</v>
      </c>
      <c r="AX248" s="4">
        <v>0.48</v>
      </c>
      <c r="AY248" s="12">
        <v>0.61</v>
      </c>
      <c r="AZ248" s="12">
        <v>0.6</v>
      </c>
      <c r="BA248" s="12">
        <v>0.56999999999999995</v>
      </c>
      <c r="BB248" s="18">
        <v>0.65</v>
      </c>
      <c r="BC248" s="63">
        <v>0.66</v>
      </c>
      <c r="BD248" s="63">
        <v>0.63</v>
      </c>
      <c r="BE248" s="63">
        <v>0.63</v>
      </c>
      <c r="BF248" s="63">
        <v>0.67</v>
      </c>
      <c r="BG248" s="91" cm="1">
        <f t="array" aca="1" ref="BG248" ca="1">_FV(EE248,"Preço")</f>
        <v>0.71</v>
      </c>
      <c r="BH248" s="93" t="s">
        <v>245</v>
      </c>
      <c r="BI248" s="32" cm="1">
        <f t="array" aca="1" ref="BI248" ca="1">_FV(EE248,"Beta")</f>
        <v>1.7844</v>
      </c>
      <c r="BJ248" s="96" cm="1">
        <f t="array" aca="1" ref="BJ248" ca="1">_FV(EE248,"Variação (%)",TRUE)</f>
        <v>-2.7397000000000001E-2</v>
      </c>
      <c r="BK248" s="49"/>
      <c r="BL248" s="49"/>
      <c r="BN248" s="32"/>
      <c r="BO248" s="20" cm="1">
        <f t="array" aca="1" ref="BO248" ca="1">_FV(EE248,"Baixo")</f>
        <v>0.71</v>
      </c>
      <c r="BP248" s="20" cm="1">
        <f t="array" aca="1" ref="BP248" ca="1">_FV(EE248,"Alto")</f>
        <v>0.74</v>
      </c>
      <c r="BQ248" s="32"/>
      <c r="BR248" s="74" t="e">
        <f ca="1">SQRT(22.5*(BG248/VLOOKUP(BH248,Fundamentus!A:U,3,FALSE))*(BG248/VLOOKUP(BH248,Fundamentus!A:U,4,FALSE)))</f>
        <v>#NUM!</v>
      </c>
      <c r="BT248" s="73">
        <f t="shared" ca="1" si="235"/>
        <v>5.9701492537313314E-2</v>
      </c>
      <c r="BU248" s="36">
        <f t="shared" si="236"/>
        <v>-0.13698630136986298</v>
      </c>
      <c r="BV248" s="8"/>
      <c r="BW248" s="72">
        <f t="shared" si="237"/>
        <v>0.48</v>
      </c>
      <c r="BX248" s="72">
        <f t="shared" si="238"/>
        <v>2.3857758620689644</v>
      </c>
      <c r="BY248" s="72">
        <f t="shared" si="239"/>
        <v>6.24</v>
      </c>
      <c r="BZ248" s="17"/>
      <c r="CA248" s="17"/>
      <c r="CB248" s="43">
        <f t="shared" si="240"/>
        <v>0.61794796563610677</v>
      </c>
      <c r="CC248" s="18">
        <f t="shared" si="241"/>
        <v>0.65365510777882108</v>
      </c>
      <c r="CD248" s="43">
        <f t="shared" si="242"/>
        <v>0.68936224992153539</v>
      </c>
      <c r="CE248" s="98">
        <f t="shared" ca="1" si="243"/>
        <v>1.577972608280428</v>
      </c>
      <c r="CF248" s="17"/>
      <c r="CG248" s="20">
        <f t="shared" si="244"/>
        <v>-7.0733333333333341</v>
      </c>
      <c r="CH248" s="20">
        <f t="shared" si="245"/>
        <v>-3.2966666666666664</v>
      </c>
      <c r="CI248" s="20">
        <f t="shared" si="246"/>
        <v>-1.3133333333333335</v>
      </c>
      <c r="CJ248" s="49">
        <f t="shared" si="247"/>
        <v>2.4633333333333334</v>
      </c>
      <c r="CK248" s="20">
        <f t="shared" si="248"/>
        <v>4.4466666666666672</v>
      </c>
      <c r="CL248" s="20">
        <f t="shared" si="249"/>
        <v>8.2233333333333327</v>
      </c>
      <c r="CM248" s="20">
        <f t="shared" si="250"/>
        <v>10.206666666666667</v>
      </c>
      <c r="CN248" s="2" cm="1">
        <f t="array" aca="1" ref="CN248" ca="1">MAX(_xlfn._xlws.FILTER(CG248:CM248,CG248:CM248&lt;BG248))</f>
        <v>-1.3133333333333335</v>
      </c>
      <c r="CO248" s="2" cm="1">
        <f t="array" aca="1" ref="CO248" ca="1">MIN(_xlfn._xlws.FILTER($CG248:$CM248,$CG248:$CM248&gt;BG248))</f>
        <v>2.4633333333333334</v>
      </c>
      <c r="CP248" s="19">
        <f t="shared" ca="1" si="259"/>
        <v>-2.875634517766497</v>
      </c>
      <c r="CQ248" s="23">
        <f t="shared" ca="1" si="260"/>
        <v>1.4378172588832485</v>
      </c>
      <c r="CR248" s="23">
        <f t="shared" ca="1" si="261"/>
        <v>0.95854483925549905</v>
      </c>
      <c r="CS248" s="23">
        <f t="shared" ca="1" si="262"/>
        <v>0.57512690355329943</v>
      </c>
      <c r="CT248" s="23">
        <f t="shared" ca="1" si="263"/>
        <v>0.31951494641849965</v>
      </c>
      <c r="CU248" s="23">
        <f t="shared" ca="1" si="264"/>
        <v>0.16915497163332335</v>
      </c>
      <c r="CV248" s="23">
        <f t="shared" ca="1" si="265"/>
        <v>8.7140439932318098E-2</v>
      </c>
      <c r="CW248" s="23">
        <f t="shared" ca="1" si="266"/>
        <v>4.4240531042561496E-2</v>
      </c>
      <c r="CX248" s="24">
        <f t="shared" ca="1" si="267"/>
        <v>-4.4240531042561496E-2</v>
      </c>
      <c r="CY248" s="24">
        <f t="shared" ca="1" si="268"/>
        <v>-8.7140439932318098E-2</v>
      </c>
      <c r="CZ248" s="24">
        <f t="shared" ca="1" si="269"/>
        <v>-0.16915497163332335</v>
      </c>
      <c r="DA248" s="24">
        <f t="shared" ca="1" si="270"/>
        <v>-0.31951494641849965</v>
      </c>
      <c r="DB248" s="24">
        <f t="shared" ca="1" si="271"/>
        <v>-0.57512690355329943</v>
      </c>
      <c r="DC248" s="24">
        <f t="shared" ca="1" si="272"/>
        <v>-0.95854483925549905</v>
      </c>
      <c r="DD248" s="24">
        <f t="shared" ca="1" si="273"/>
        <v>-1.4378172588832485</v>
      </c>
      <c r="DF248" s="19" cm="1">
        <f t="array" aca="1" ref="DF248" ca="1">MAX(_xlfn._xlws.FILTER(CQ248:DD248,CQ248:DD248&lt;BJ248))</f>
        <v>-4.4240531042561496E-2</v>
      </c>
      <c r="DG248" s="19" cm="1">
        <f t="array" aca="1" ref="DG248" ca="1">MIN(_xlfn._xlws.FILTER(CQ248:DD248,CQ248:DD248&gt;BJ248))</f>
        <v>4.4240531042561496E-2</v>
      </c>
      <c r="DH248" s="2" cm="1">
        <f t="array" aca="1" ref="DH248" ca="1">_FV(EE248,"Fechamento anterior",TRUE)</f>
        <v>0.73</v>
      </c>
      <c r="DI248" s="36">
        <f t="shared" ca="1" si="251"/>
        <v>0.19036017845699943</v>
      </c>
      <c r="DJ248" s="18">
        <f t="shared" ca="1" si="274"/>
        <v>0.6977044123389301</v>
      </c>
      <c r="DK248" s="18">
        <f t="shared" ca="1" si="275"/>
        <v>0.76229558766106986</v>
      </c>
      <c r="DL248" s="9"/>
      <c r="DM248" s="9"/>
      <c r="DN248" s="9"/>
      <c r="DO248" s="9"/>
      <c r="DP248" s="79">
        <v>4.4013229353543515E-2</v>
      </c>
      <c r="DQ248" s="79">
        <v>9.0777285541683489E-2</v>
      </c>
      <c r="DR248" s="79">
        <v>9.0777285541683489E-2</v>
      </c>
      <c r="DS248" s="79">
        <f t="shared" ca="1" si="252"/>
        <v>8.8481062085122991E-2</v>
      </c>
      <c r="DT248" s="47"/>
      <c r="DU248" s="43">
        <f t="shared" si="253"/>
        <v>1.7853571071357141E-2</v>
      </c>
      <c r="DV248" s="83">
        <f t="shared" ca="1" si="254"/>
        <v>2.2105000000000001</v>
      </c>
      <c r="DW248" s="83">
        <f t="shared" ca="1" si="255"/>
        <v>4.5240999999999998</v>
      </c>
      <c r="DX248" s="83">
        <f t="shared" ca="1" si="234"/>
        <v>-2.3135999999999997</v>
      </c>
      <c r="DY248" s="67"/>
      <c r="DZ248" s="67"/>
      <c r="EA248" s="85"/>
      <c r="EB248" s="44">
        <v>7048900</v>
      </c>
      <c r="EC248" s="44" cm="1">
        <f t="array" aca="1" ref="EC248" ca="1">_FV(EE248,"Volume")</f>
        <v>1800900</v>
      </c>
      <c r="EE248" s="2" t="e" vm="250">
        <v>#VALUE!</v>
      </c>
      <c r="EG248" s="10" cm="1">
        <f t="array" aca="1" ref="EG248" ca="1">_FV(EE248,"Ações em circulação",TRUE)</f>
        <v>330121700</v>
      </c>
      <c r="EH248" s="21">
        <f>VLOOKUP(BH248,Fundamentus!A:U,5,FALSE)</f>
        <v>0.13700000000000001</v>
      </c>
      <c r="EI248" s="2">
        <f t="shared" ca="1" si="256"/>
        <v>1710849686.1313868</v>
      </c>
      <c r="EJ248" s="20">
        <v>13681450481.370071</v>
      </c>
      <c r="EK248" s="20">
        <f t="shared" ca="1" si="257"/>
        <v>14498253495.18321</v>
      </c>
      <c r="EM248" s="40" t="str">
        <f>IF(VLOOKUP(BH248,Fundamentus!A:U,3,FALSE)&lt;15,"Bom",IF(VLOOKUP(BH248,Fundamentus!A:U,3,FALSE)&gt;15,"Ruim","n/a"))</f>
        <v>Bom</v>
      </c>
      <c r="EN248" s="36" t="str">
        <f>IF(VLOOKUP(BH248,Fundamentus!A:U,4,FALSE)&lt;1,"Baixo",IF(VLOOKUP(BH248,Fundamentus!A:U,4,FALSE)&lt;1.5,"Moderado",IF(VLOOKUP(BH248,Fundamentus!A:U,4,FALSE)&gt;1.5,"Alto","n/a")))</f>
        <v>Baixo</v>
      </c>
      <c r="EO248" s="20" t="str">
        <f>IF(VLOOKUP(BH248,Fundamentus!A:U,8,FALSE)&lt;0,"Risco elevado",IF(VLOOKUP(BH248,Fundamentus!A:U,8,FALSE)&lt;1,"Saudável",IF(VLOOKUP(BH248,Fundamentus!A:U,8,FALSE)&lt;3,"Estável",IF(VLOOKUP(BH248,Fundamentus!A:U,8,FALSE)&gt;3,"Alerta","n/a"))))</f>
        <v>Risco elevado</v>
      </c>
      <c r="EP248" s="36" t="str">
        <f t="shared" si="258"/>
        <v>Ruim</v>
      </c>
      <c r="EQ248" s="20" t="str">
        <f>IF(VLOOKUP(BH248,Fundamentus!A:U,12,FALSE)&lt;2,"Subvalorizada",IF(VLOOKUP(BH248,Fundamentus!A:U,12,FALSE)&lt;6,"Muita barata",IF(VLOOKUP(BH248,Fundamentus!A:U,12,FALSE)&lt;6,"Barata",IF(VLOOKUP(BH248,Fundamentus!A:U,12,FALSE)&lt;8,"Atrativa",IF(VLOOKUP(BH248,Fundamentus!A:U,12,FALSE)&gt;8,"Supervalorizada","n/a")))))</f>
        <v>Subvalorizada</v>
      </c>
      <c r="ES248" s="20" t="str">
        <f>IF(VLOOKUP(BH248,Fundamentus!A:U,17,FALSE)&lt;0.1,"Fraco retorno",IF(VLOOKUP(BH248,Fundamentus!A:U,17,FALSE)&gt;0.1,"Bom retorno","n/a"))</f>
        <v>Fraco retorno</v>
      </c>
      <c r="ET248" s="20" t="str">
        <f>IF(VLOOKUP(BH248,Fundamentus!A:U,16,FALSE)&lt;0.1,"Ineficiente",IF(VLOOKUP(BH248,Fundamentus!A:U,16,FALSE)&gt;0.1,"Eficiente","n/a"))</f>
        <v>Ineficiente</v>
      </c>
      <c r="EU248" s="41" t="str">
        <f>IF(VLOOKUP(BH248,Fundamentus!A:U,16,FALSE)&lt;0.1,"Oper. Ineficiente",IF(VLOOKUP(BH248,Fundamentus!A:U,16,FALSE)&gt;0.1,"Oper.Eficiente","n/a"))</f>
        <v>Oper. Ineficiente</v>
      </c>
      <c r="EV248" s="42">
        <f>VLOOKUP(BH248,Fundamentus!A:U,14,FALSE)</f>
        <v>8.4742999999999995</v>
      </c>
      <c r="EW248" s="20" t="str">
        <f>IF(VLOOKUP(BH248,Fundamentus!A:U,21,FALSE)&lt;0,"Negativo",IF(VLOOKUP(BH248,Fundamentus!A:U,21,FALSE)&lt;0.05,"Fraco",IF(VLOOKUP(BH248,Fundamentus!A:U,21,FALSE)&lt;0.1,"Bom",IF(VLOOKUP(BH248,Fundamentus!A:U,21,FALSE)&gt;0.1,"Muito bom","n/a"))))</f>
        <v>Negativo</v>
      </c>
      <c r="EY248" s="37" t="str">
        <f>IF(VLOOKUP(BH248,Fundamentus!A:U,15,FALSE)&gt;1,"Bom",IF(VLOOKUP(BH248,Fundamentus!A:U,15,FALSE)&lt;1,"Ruim","n/a"))</f>
        <v>Ruim</v>
      </c>
      <c r="EZ248" s="20" t="str">
        <f>IF(VLOOKUP(BH248,Fundamentus!A:U,20,FALSE)&lt;0.5,"Baixa",IF(VLOOKUP(BH248,Fundamentus!A:U,20,FALSE)&lt;1,"Moderada",IF(VLOOKUP(BH248,Fundamentus!A:U,20,FALSE)&lt;2,"Alerta",IF(VLOOKUP(BH248,Fundamentus!A:U,20,FALSE)&gt;2,"Alta","n/a"))))</f>
        <v>Baixa</v>
      </c>
    </row>
    <row r="249" spans="1:156" s="2" customFormat="1" ht="11.25" hidden="1" x14ac:dyDescent="0.2">
      <c r="A249" s="4">
        <v>14.74</v>
      </c>
      <c r="B249" s="4">
        <v>14.54</v>
      </c>
      <c r="C249" s="4">
        <v>14.33</v>
      </c>
      <c r="D249" s="4">
        <v>13.98</v>
      </c>
      <c r="E249" s="4">
        <v>13.63</v>
      </c>
      <c r="F249" s="4">
        <v>12.72</v>
      </c>
      <c r="G249" s="4">
        <v>12.67</v>
      </c>
      <c r="H249" s="4">
        <v>12.89</v>
      </c>
      <c r="I249" s="4">
        <v>13.52</v>
      </c>
      <c r="J249" s="4">
        <v>14.1</v>
      </c>
      <c r="K249" s="4">
        <v>14.28</v>
      </c>
      <c r="L249" s="4">
        <v>14.03</v>
      </c>
      <c r="M249" s="4">
        <v>13.7</v>
      </c>
      <c r="N249" s="4">
        <v>13</v>
      </c>
      <c r="O249" s="4">
        <v>13.61</v>
      </c>
      <c r="P249" s="4">
        <v>13.42</v>
      </c>
      <c r="Q249" s="4">
        <v>13.97</v>
      </c>
      <c r="R249" s="4">
        <v>13.36</v>
      </c>
      <c r="S249" s="4">
        <v>12.89</v>
      </c>
      <c r="T249" s="4">
        <v>13.04</v>
      </c>
      <c r="U249" s="4">
        <v>12.56</v>
      </c>
      <c r="V249" s="4">
        <v>13.15</v>
      </c>
      <c r="W249" s="4">
        <v>13.25</v>
      </c>
      <c r="X249" s="4">
        <v>12.1</v>
      </c>
      <c r="Y249" s="4">
        <v>11.52</v>
      </c>
      <c r="Z249" s="4">
        <v>11.75</v>
      </c>
      <c r="AA249" s="4">
        <v>11.5</v>
      </c>
      <c r="AB249" s="4">
        <v>11.73</v>
      </c>
      <c r="AC249" s="4">
        <v>11.3</v>
      </c>
      <c r="AD249" s="4">
        <v>11.13</v>
      </c>
      <c r="AE249" s="4">
        <v>10.199999999999999</v>
      </c>
      <c r="AF249" s="4">
        <v>9.4</v>
      </c>
      <c r="AG249" s="4">
        <v>8.91</v>
      </c>
      <c r="AH249" s="4">
        <v>8.5399999999999991</v>
      </c>
      <c r="AI249" s="4">
        <v>8.16</v>
      </c>
      <c r="AJ249" s="4">
        <v>8.0500000000000007</v>
      </c>
      <c r="AK249" s="4">
        <v>8.11</v>
      </c>
      <c r="AL249" s="4">
        <v>8.1999999999999993</v>
      </c>
      <c r="AM249" s="4">
        <v>7.56</v>
      </c>
      <c r="AN249" s="4">
        <v>7.74</v>
      </c>
      <c r="AO249" s="4">
        <v>7.18</v>
      </c>
      <c r="AP249" s="4">
        <v>7.58</v>
      </c>
      <c r="AQ249" s="4">
        <v>7.29</v>
      </c>
      <c r="AR249" s="4">
        <v>7.09</v>
      </c>
      <c r="AS249" s="4">
        <v>7.27</v>
      </c>
      <c r="AT249" s="4">
        <v>7.47</v>
      </c>
      <c r="AU249" s="4">
        <v>7.77</v>
      </c>
      <c r="AV249" s="4">
        <v>7.63</v>
      </c>
      <c r="AW249" s="4">
        <v>7.24</v>
      </c>
      <c r="AX249" s="4">
        <v>7.04</v>
      </c>
      <c r="AY249" s="12">
        <v>7.17</v>
      </c>
      <c r="AZ249" s="12">
        <v>7.71</v>
      </c>
      <c r="BA249" s="12">
        <v>7.77</v>
      </c>
      <c r="BB249" s="18">
        <v>7.99</v>
      </c>
      <c r="BC249" s="63">
        <v>7.72</v>
      </c>
      <c r="BD249" s="63">
        <v>8.02</v>
      </c>
      <c r="BE249" s="63">
        <v>8.23</v>
      </c>
      <c r="BF249" s="63">
        <v>8.06</v>
      </c>
      <c r="BG249" s="91" cm="1">
        <f t="array" aca="1" ref="BG249" ca="1">_FV(EE249,"Preço")</f>
        <v>8.1199999999999992</v>
      </c>
      <c r="BH249" s="93" t="s">
        <v>246</v>
      </c>
      <c r="BI249" s="32" cm="1">
        <f t="array" aca="1" ref="BI249" ca="1">_FV(EE249,"Beta")</f>
        <v>1.2395</v>
      </c>
      <c r="BJ249" s="96" cm="1">
        <f t="array" aca="1" ref="BJ249" ca="1">_FV(EE249,"Variação (%)",TRUE)</f>
        <v>-1.4563E-2</v>
      </c>
      <c r="BK249" s="49"/>
      <c r="BL249" s="49"/>
      <c r="BN249" s="32"/>
      <c r="BO249" s="20" cm="1">
        <f t="array" aca="1" ref="BO249" ca="1">_FV(EE249,"Baixo")</f>
        <v>8.0299999999999994</v>
      </c>
      <c r="BP249" s="20" cm="1">
        <f t="array" aca="1" ref="BP249" ca="1">_FV(EE249,"Alto")</f>
        <v>8.23</v>
      </c>
      <c r="BQ249" s="32"/>
      <c r="BR249" s="74" t="e">
        <f ca="1">SQRT(22.5*(BG249/VLOOKUP(BH249,Fundamentus!A:U,3,FALSE))*(BG249/VLOOKUP(BH249,Fundamentus!A:U,4,FALSE)))</f>
        <v>#NUM!</v>
      </c>
      <c r="BT249" s="73">
        <f t="shared" ca="1" si="235"/>
        <v>7.4441687344911564E-3</v>
      </c>
      <c r="BU249" s="36">
        <f t="shared" si="236"/>
        <v>-0.44165535956580732</v>
      </c>
      <c r="BV249" s="8"/>
      <c r="BW249" s="72">
        <f t="shared" si="237"/>
        <v>7.04</v>
      </c>
      <c r="BX249" s="72">
        <f t="shared" si="238"/>
        <v>10.577758620689655</v>
      </c>
      <c r="BY249" s="72">
        <f t="shared" si="239"/>
        <v>14.74</v>
      </c>
      <c r="BZ249" s="17"/>
      <c r="CA249" s="17"/>
      <c r="CB249" s="43">
        <f t="shared" si="240"/>
        <v>7.9455672741864847</v>
      </c>
      <c r="CC249" s="18">
        <f t="shared" si="241"/>
        <v>8.3130927835052262</v>
      </c>
      <c r="CD249" s="43">
        <f t="shared" si="242"/>
        <v>8.6806182928239686</v>
      </c>
      <c r="CE249" s="98">
        <f t="shared" ca="1" si="243"/>
        <v>-0.52538607146793892</v>
      </c>
      <c r="CF249" s="17"/>
      <c r="CG249" s="20">
        <f t="shared" si="244"/>
        <v>-2.546666666666666</v>
      </c>
      <c r="CH249" s="20">
        <f t="shared" si="245"/>
        <v>2.246666666666667</v>
      </c>
      <c r="CI249" s="20">
        <f t="shared" si="246"/>
        <v>5.1533333333333342</v>
      </c>
      <c r="CJ249" s="49">
        <f t="shared" si="247"/>
        <v>9.9466666666666672</v>
      </c>
      <c r="CK249" s="20">
        <f t="shared" si="248"/>
        <v>12.853333333333335</v>
      </c>
      <c r="CL249" s="20">
        <f t="shared" si="249"/>
        <v>17.646666666666668</v>
      </c>
      <c r="CM249" s="20">
        <f t="shared" si="250"/>
        <v>20.553333333333335</v>
      </c>
      <c r="CN249" s="2" cm="1">
        <f t="array" aca="1" ref="CN249" ca="1">MAX(_xlfn._xlws.FILTER(CG249:CM249,CG249:CM249&lt;BG249))</f>
        <v>5.1533333333333342</v>
      </c>
      <c r="CO249" s="2" cm="1">
        <f t="array" aca="1" ref="CO249" ca="1">MIN(_xlfn._xlws.FILTER($CG249:$CM249,$CG249:$CM249&gt;BG249))</f>
        <v>9.9466666666666672</v>
      </c>
      <c r="CP249" s="19">
        <f t="shared" ca="1" si="259"/>
        <v>0.93014230271668796</v>
      </c>
      <c r="CQ249" s="23">
        <f t="shared" ca="1" si="260"/>
        <v>-0.46507115135834398</v>
      </c>
      <c r="CR249" s="23">
        <f t="shared" ca="1" si="261"/>
        <v>-0.31004743423889597</v>
      </c>
      <c r="CS249" s="23">
        <f t="shared" ca="1" si="262"/>
        <v>-0.1860284605433376</v>
      </c>
      <c r="CT249" s="23">
        <f t="shared" ca="1" si="263"/>
        <v>-0.10334914474629867</v>
      </c>
      <c r="CU249" s="23">
        <f t="shared" ca="1" si="264"/>
        <v>-5.4714253100981644E-2</v>
      </c>
      <c r="CV249" s="23">
        <f t="shared" ca="1" si="265"/>
        <v>-2.8186130385354179E-2</v>
      </c>
      <c r="CW249" s="23">
        <f t="shared" ca="1" si="266"/>
        <v>-1.4309881580256738E-2</v>
      </c>
      <c r="CX249" s="24">
        <f t="shared" ca="1" si="267"/>
        <v>1.4309881580256738E-2</v>
      </c>
      <c r="CY249" s="24">
        <f t="shared" ca="1" si="268"/>
        <v>2.8186130385354179E-2</v>
      </c>
      <c r="CZ249" s="24">
        <f t="shared" ca="1" si="269"/>
        <v>5.4714253100981644E-2</v>
      </c>
      <c r="DA249" s="24">
        <f t="shared" ca="1" si="270"/>
        <v>0.10334914474629867</v>
      </c>
      <c r="DB249" s="24">
        <f t="shared" ca="1" si="271"/>
        <v>0.1860284605433376</v>
      </c>
      <c r="DC249" s="24">
        <f t="shared" ca="1" si="272"/>
        <v>0.31004743423889597</v>
      </c>
      <c r="DD249" s="24">
        <f t="shared" ca="1" si="273"/>
        <v>0.46507115135834398</v>
      </c>
      <c r="DF249" s="19" cm="1">
        <f t="array" aca="1" ref="DF249" ca="1">MAX(_xlfn._xlws.FILTER(CQ249:DD249,CQ249:DD249&lt;BJ249))</f>
        <v>-2.8186130385354179E-2</v>
      </c>
      <c r="DG249" s="19" cm="1">
        <f t="array" aca="1" ref="DG249" ca="1">MIN(_xlfn._xlws.FILTER(CQ249:DD249,CQ249:DD249&gt;BJ249))</f>
        <v>-1.4309881580256738E-2</v>
      </c>
      <c r="DH249" s="2" cm="1">
        <f t="array" aca="1" ref="DH249" ca="1">_FV(EE249,"Fechamento anterior",TRUE)</f>
        <v>8.24</v>
      </c>
      <c r="DI249" s="36">
        <f t="shared" ca="1" si="251"/>
        <v>0.98175117645866505</v>
      </c>
      <c r="DJ249" s="18">
        <f t="shared" ca="1" si="274"/>
        <v>8.0077462856246822</v>
      </c>
      <c r="DK249" s="18">
        <f t="shared" ca="1" si="275"/>
        <v>8.1220865757786846</v>
      </c>
      <c r="DL249" s="9"/>
      <c r="DM249" s="9"/>
      <c r="DN249" s="9"/>
      <c r="DO249" s="9"/>
      <c r="DP249" s="79">
        <v>3.5308953341740223E-2</v>
      </c>
      <c r="DQ249" s="79">
        <v>1.7119492529328595E-2</v>
      </c>
      <c r="DR249" s="79">
        <v>3.5308953341740223E-2</v>
      </c>
      <c r="DS249" s="79">
        <f t="shared" ca="1" si="252"/>
        <v>1.3876248805097441E-2</v>
      </c>
      <c r="DT249" s="47"/>
      <c r="DU249" s="43">
        <f t="shared" si="253"/>
        <v>0.18376275465937075</v>
      </c>
      <c r="DV249" s="83">
        <f t="shared" ca="1" si="254"/>
        <v>1.6656</v>
      </c>
      <c r="DW249" s="83">
        <f t="shared" ca="1" si="255"/>
        <v>2.6958000000000002</v>
      </c>
      <c r="DX249" s="83">
        <f t="shared" ca="1" si="234"/>
        <v>-1.0302000000000002</v>
      </c>
      <c r="DY249" s="67"/>
      <c r="DZ249" s="67"/>
      <c r="EA249" s="85"/>
      <c r="EB249" s="44">
        <v>16427000</v>
      </c>
      <c r="EC249" s="44" cm="1">
        <f t="array" aca="1" ref="EC249" ca="1">_FV(EE249,"Volume")</f>
        <v>10876500</v>
      </c>
      <c r="EE249" s="2" t="e" vm="251">
        <v>#VALUE!</v>
      </c>
      <c r="EG249" s="10" cm="1">
        <f t="array" aca="1" ref="EG249" ca="1">_FV(EE249,"Ações em circulação",TRUE)</f>
        <v>1866571000</v>
      </c>
      <c r="EH249" s="21">
        <f>VLOOKUP(BH249,Fundamentus!A:U,5,FALSE)</f>
        <v>0.34300000000000003</v>
      </c>
      <c r="EI249" s="2">
        <f t="shared" ca="1" si="256"/>
        <v>44188211428.571419</v>
      </c>
      <c r="EJ249" s="20">
        <v>-10382063810.326529</v>
      </c>
      <c r="EK249" s="20">
        <f t="shared" ca="1" si="257"/>
        <v>-10459349645.142855</v>
      </c>
      <c r="EM249" s="40" t="str">
        <f>IF(VLOOKUP(BH249,Fundamentus!A:U,3,FALSE)&lt;15,"Bom",IF(VLOOKUP(BH249,Fundamentus!A:U,3,FALSE)&gt;15,"Ruim","n/a"))</f>
        <v>Bom</v>
      </c>
      <c r="EN249" s="36" t="str">
        <f>IF(VLOOKUP(BH249,Fundamentus!A:U,4,FALSE)&lt;1,"Baixo",IF(VLOOKUP(BH249,Fundamentus!A:U,4,FALSE)&lt;1.5,"Moderado",IF(VLOOKUP(BH249,Fundamentus!A:U,4,FALSE)&gt;1.5,"Alto","n/a")))</f>
        <v>Alto</v>
      </c>
      <c r="EO249" s="20" t="str">
        <f>IF(VLOOKUP(BH249,Fundamentus!A:U,8,FALSE)&lt;0,"Risco elevado",IF(VLOOKUP(BH249,Fundamentus!A:U,8,FALSE)&lt;1,"Saudável",IF(VLOOKUP(BH249,Fundamentus!A:U,8,FALSE)&lt;3,"Estável",IF(VLOOKUP(BH249,Fundamentus!A:U,8,FALSE)&gt;3,"Alerta","n/a"))))</f>
        <v>Estável</v>
      </c>
      <c r="EP249" s="36" t="str">
        <f t="shared" si="258"/>
        <v>Ruim</v>
      </c>
      <c r="EQ249" s="20" t="str">
        <f>IF(VLOOKUP(BH249,Fundamentus!A:U,12,FALSE)&lt;2,"Subvalorizada",IF(VLOOKUP(BH249,Fundamentus!A:U,12,FALSE)&lt;6,"Muita barata",IF(VLOOKUP(BH249,Fundamentus!A:U,12,FALSE)&lt;6,"Barata",IF(VLOOKUP(BH249,Fundamentus!A:U,12,FALSE)&lt;8,"Atrativa",IF(VLOOKUP(BH249,Fundamentus!A:U,12,FALSE)&gt;8,"Supervalorizada","n/a")))))</f>
        <v>Muita barata</v>
      </c>
      <c r="ES249" s="20" t="str">
        <f>IF(VLOOKUP(BH249,Fundamentus!A:U,17,FALSE)&lt;0.1,"Fraco retorno",IF(VLOOKUP(BH249,Fundamentus!A:U,17,FALSE)&gt;0.1,"Bom retorno","n/a"))</f>
        <v>Fraco retorno</v>
      </c>
      <c r="ET249" s="20" t="str">
        <f>IF(VLOOKUP(BH249,Fundamentus!A:U,16,FALSE)&lt;0.1,"Ineficiente",IF(VLOOKUP(BH249,Fundamentus!A:U,16,FALSE)&gt;0.1,"Eficiente","n/a"))</f>
        <v>Ineficiente</v>
      </c>
      <c r="EU249" s="41" t="str">
        <f>IF(VLOOKUP(BH249,Fundamentus!A:U,16,FALSE)&lt;0.1,"Oper. Ineficiente",IF(VLOOKUP(BH249,Fundamentus!A:U,16,FALSE)&gt;0.1,"Oper.Eficiente","n/a"))</f>
        <v>Oper. Ineficiente</v>
      </c>
      <c r="EV249" s="42">
        <f>VLOOKUP(BH249,Fundamentus!A:U,14,FALSE)</f>
        <v>-0.23669999999999999</v>
      </c>
      <c r="EW249" s="20" t="str">
        <f>IF(VLOOKUP(BH249,Fundamentus!A:U,21,FALSE)&lt;0,"Negativo",IF(VLOOKUP(BH249,Fundamentus!A:U,21,FALSE)&lt;0.05,"Fraco",IF(VLOOKUP(BH249,Fundamentus!A:U,21,FALSE)&lt;0.1,"Bom",IF(VLOOKUP(BH249,Fundamentus!A:U,21,FALSE)&gt;0.1,"Muito bom","n/a"))))</f>
        <v>Muito bom</v>
      </c>
      <c r="EY249" s="37" t="str">
        <f>IF(VLOOKUP(BH249,Fundamentus!A:U,15,FALSE)&gt;1,"Bom",IF(VLOOKUP(BH249,Fundamentus!A:U,15,FALSE)&lt;1,"Ruim","n/a"))</f>
        <v>Bom</v>
      </c>
      <c r="EZ249" s="20" t="str">
        <f>IF(VLOOKUP(BH249,Fundamentus!A:U,20,FALSE)&lt;0.5,"Baixa",IF(VLOOKUP(BH249,Fundamentus!A:U,20,FALSE)&lt;1,"Moderada",IF(VLOOKUP(BH249,Fundamentus!A:U,20,FALSE)&lt;2,"Alerta",IF(VLOOKUP(BH249,Fundamentus!A:U,20,FALSE)&gt;2,"Alta","n/a"))))</f>
        <v>Alta</v>
      </c>
    </row>
    <row r="250" spans="1:156" s="2" customFormat="1" ht="11.25" hidden="1" x14ac:dyDescent="0.2">
      <c r="A250" s="4">
        <v>22.31</v>
      </c>
      <c r="B250" s="4">
        <v>19.52</v>
      </c>
      <c r="C250" s="4">
        <v>19.8</v>
      </c>
      <c r="D250" s="4">
        <v>19.2</v>
      </c>
      <c r="E250" s="4">
        <v>19</v>
      </c>
      <c r="F250" s="4">
        <v>17.86</v>
      </c>
      <c r="G250" s="4">
        <v>18.739999999999998</v>
      </c>
      <c r="H250" s="4">
        <v>18.329999999999998</v>
      </c>
      <c r="I250" s="4">
        <v>18.12</v>
      </c>
      <c r="J250" s="4">
        <v>18.45</v>
      </c>
      <c r="K250" s="4">
        <v>19.440000000000001</v>
      </c>
      <c r="L250" s="4">
        <v>18.260000000000002</v>
      </c>
      <c r="M250" s="4">
        <v>18.13</v>
      </c>
      <c r="N250" s="4">
        <v>16.97</v>
      </c>
      <c r="O250" s="4">
        <v>17.72</v>
      </c>
      <c r="P250" s="4">
        <v>17.7</v>
      </c>
      <c r="Q250" s="4">
        <v>17.649999999999999</v>
      </c>
      <c r="R250" s="4">
        <v>17.920000000000002</v>
      </c>
      <c r="S250" s="4">
        <v>18.98</v>
      </c>
      <c r="T250" s="4">
        <v>18.920000000000002</v>
      </c>
      <c r="U250" s="4">
        <v>18.829999999999998</v>
      </c>
      <c r="V250" s="4">
        <v>20.29</v>
      </c>
      <c r="W250" s="4">
        <v>19.690000000000001</v>
      </c>
      <c r="X250" s="4">
        <v>18.36</v>
      </c>
      <c r="Y250" s="4">
        <v>17.61</v>
      </c>
      <c r="Z250" s="4">
        <v>17.02</v>
      </c>
      <c r="AA250" s="4">
        <v>17.07</v>
      </c>
      <c r="AB250" s="4">
        <v>15.79</v>
      </c>
      <c r="AC250" s="4">
        <v>15.2</v>
      </c>
      <c r="AD250" s="4">
        <v>15.51</v>
      </c>
      <c r="AE250" s="4">
        <v>15.26</v>
      </c>
      <c r="AF250" s="4">
        <v>15</v>
      </c>
      <c r="AG250" s="4">
        <v>13.28</v>
      </c>
      <c r="AH250" s="4">
        <v>12.53</v>
      </c>
      <c r="AI250" s="4">
        <v>12.35</v>
      </c>
      <c r="AJ250" s="4">
        <v>12.08</v>
      </c>
      <c r="AK250" s="4">
        <v>11.5</v>
      </c>
      <c r="AL250" s="4">
        <v>12.69</v>
      </c>
      <c r="AM250" s="4">
        <v>14.29</v>
      </c>
      <c r="AN250" s="4">
        <v>13.28</v>
      </c>
      <c r="AO250" s="4">
        <v>13.28</v>
      </c>
      <c r="AP250" s="4">
        <v>12.9</v>
      </c>
      <c r="AQ250" s="4">
        <v>12.82</v>
      </c>
      <c r="AR250" s="4">
        <v>10.86</v>
      </c>
      <c r="AS250" s="4">
        <v>10.8</v>
      </c>
      <c r="AT250" s="4">
        <v>11.19</v>
      </c>
      <c r="AU250" s="4">
        <v>11.01</v>
      </c>
      <c r="AV250" s="4">
        <v>11.8</v>
      </c>
      <c r="AW250" s="4">
        <v>10.35</v>
      </c>
      <c r="AX250" s="4">
        <v>10.43</v>
      </c>
      <c r="AY250" s="12">
        <v>10.31</v>
      </c>
      <c r="AZ250" s="12">
        <v>11.36</v>
      </c>
      <c r="BA250" s="12">
        <v>10.8</v>
      </c>
      <c r="BB250" s="18">
        <v>11.18</v>
      </c>
      <c r="BC250" s="63">
        <v>10.65</v>
      </c>
      <c r="BD250" s="63">
        <v>10.99</v>
      </c>
      <c r="BE250" s="63">
        <v>11.65</v>
      </c>
      <c r="BF250" s="63">
        <v>10.97</v>
      </c>
      <c r="BG250" s="91" cm="1">
        <f t="array" aca="1" ref="BG250" ca="1">_FV(EE250,"Preço")</f>
        <v>11.01</v>
      </c>
      <c r="BH250" s="93" t="s">
        <v>247</v>
      </c>
      <c r="BI250" s="32" cm="1">
        <f t="array" aca="1" ref="BI250" ca="1">_FV(EE250,"Beta")</f>
        <v>1.0466</v>
      </c>
      <c r="BJ250" s="96" cm="1">
        <f t="array" aca="1" ref="BJ250" ca="1">_FV(EE250,"Variação (%)",TRUE)</f>
        <v>-1.8129999999999999E-3</v>
      </c>
      <c r="BK250" s="49"/>
      <c r="BL250" s="49"/>
      <c r="BN250" s="32"/>
      <c r="BO250" s="20" cm="1">
        <f t="array" aca="1" ref="BO250" ca="1">_FV(EE250,"Baixo")</f>
        <v>10.8</v>
      </c>
      <c r="BP250" s="20" cm="1">
        <f t="array" aca="1" ref="BP250" ca="1">_FV(EE250,"Alto")</f>
        <v>11.3</v>
      </c>
      <c r="BQ250" s="32"/>
      <c r="BR250" s="74">
        <f ca="1">SQRT(22.5*(BG250/VLOOKUP(BH250,Fundamentus!A:U,3,FALSE))*(BG250/VLOOKUP(BH250,Fundamentus!A:U,4,FALSE)))</f>
        <v>37.241880536620194</v>
      </c>
      <c r="BT250" s="73">
        <f t="shared" ca="1" si="235"/>
        <v>3.6463081130354734E-3</v>
      </c>
      <c r="BU250" s="36">
        <f t="shared" si="236"/>
        <v>-0.4778126400717167</v>
      </c>
      <c r="BV250" s="8"/>
      <c r="BW250" s="72">
        <f t="shared" si="237"/>
        <v>10.31</v>
      </c>
      <c r="BX250" s="72">
        <f t="shared" si="238"/>
        <v>15.241379310344826</v>
      </c>
      <c r="BY250" s="72">
        <f t="shared" si="239"/>
        <v>22.31</v>
      </c>
      <c r="BZ250" s="17"/>
      <c r="CA250" s="17"/>
      <c r="CB250" s="43">
        <f t="shared" si="240"/>
        <v>10.742513675530937</v>
      </c>
      <c r="CC250" s="18">
        <f t="shared" si="241"/>
        <v>11.46990627928767</v>
      </c>
      <c r="CD250" s="43">
        <f t="shared" si="242"/>
        <v>12.197298883044404</v>
      </c>
      <c r="CE250" s="98">
        <f t="shared" ca="1" si="243"/>
        <v>-0.63226691735991281</v>
      </c>
      <c r="CF250" s="17"/>
      <c r="CG250" s="20">
        <f t="shared" si="244"/>
        <v>-5.2499999999999982</v>
      </c>
      <c r="CH250" s="20">
        <f t="shared" si="245"/>
        <v>2.5300000000000011</v>
      </c>
      <c r="CI250" s="20">
        <f t="shared" si="246"/>
        <v>6.75</v>
      </c>
      <c r="CJ250" s="49">
        <f t="shared" si="247"/>
        <v>14.53</v>
      </c>
      <c r="CK250" s="20">
        <f t="shared" si="248"/>
        <v>18.75</v>
      </c>
      <c r="CL250" s="20">
        <f t="shared" si="249"/>
        <v>26.529999999999998</v>
      </c>
      <c r="CM250" s="20">
        <f t="shared" si="250"/>
        <v>30.749999999999996</v>
      </c>
      <c r="CN250" s="2" cm="1">
        <f t="array" aca="1" ref="CN250" ca="1">MAX(_xlfn._xlws.FILTER(CG250:CM250,CG250:CM250&lt;BG250))</f>
        <v>6.75</v>
      </c>
      <c r="CO250" s="2" cm="1">
        <f t="array" aca="1" ref="CO250" ca="1">MIN(_xlfn._xlws.FILTER($CG250:$CM250,$CG250:$CM250&gt;BG250))</f>
        <v>14.53</v>
      </c>
      <c r="CP250" s="19">
        <f t="shared" ca="1" si="259"/>
        <v>1.1525925925925926</v>
      </c>
      <c r="CQ250" s="23">
        <f t="shared" ca="1" si="260"/>
        <v>-0.57629629629629631</v>
      </c>
      <c r="CR250" s="23">
        <f t="shared" ca="1" si="261"/>
        <v>-0.38419753086419756</v>
      </c>
      <c r="CS250" s="23">
        <f t="shared" ca="1" si="262"/>
        <v>-0.23051851851851851</v>
      </c>
      <c r="CT250" s="23">
        <f t="shared" ca="1" si="263"/>
        <v>-0.12806584362139917</v>
      </c>
      <c r="CU250" s="23">
        <f t="shared" ca="1" si="264"/>
        <v>-6.7799564270152504E-2</v>
      </c>
      <c r="CV250" s="23">
        <f t="shared" ca="1" si="265"/>
        <v>-3.4927048260381593E-2</v>
      </c>
      <c r="CW250" s="23">
        <f t="shared" ca="1" si="266"/>
        <v>-1.7732193732193733E-2</v>
      </c>
      <c r="CX250" s="24">
        <f t="shared" ca="1" si="267"/>
        <v>1.7732193732193733E-2</v>
      </c>
      <c r="CY250" s="24">
        <f t="shared" ca="1" si="268"/>
        <v>3.4927048260381593E-2</v>
      </c>
      <c r="CZ250" s="24">
        <f t="shared" ca="1" si="269"/>
        <v>6.7799564270152504E-2</v>
      </c>
      <c r="DA250" s="24">
        <f t="shared" ca="1" si="270"/>
        <v>0.12806584362139917</v>
      </c>
      <c r="DB250" s="24">
        <f t="shared" ca="1" si="271"/>
        <v>0.23051851851851851</v>
      </c>
      <c r="DC250" s="24">
        <f t="shared" ca="1" si="272"/>
        <v>0.38419753086419756</v>
      </c>
      <c r="DD250" s="24">
        <f t="shared" ca="1" si="273"/>
        <v>0.57629629629629631</v>
      </c>
      <c r="DF250" s="19" cm="1">
        <f t="array" aca="1" ref="DF250" ca="1">MAX(_xlfn._xlws.FILTER(CQ250:DD250,CQ250:DD250&lt;BJ250))</f>
        <v>-1.7732193732193733E-2</v>
      </c>
      <c r="DG250" s="19" cm="1">
        <f t="array" aca="1" ref="DG250" ca="1">MIN(_xlfn._xlws.FILTER(CQ250:DD250,CQ250:DD250&gt;BJ250))</f>
        <v>1.7732193732193733E-2</v>
      </c>
      <c r="DH250" s="2" cm="1">
        <f t="array" aca="1" ref="DH250" ca="1">_FV(EE250,"Fechamento anterior",TRUE)</f>
        <v>11.03</v>
      </c>
      <c r="DI250" s="36">
        <f t="shared" ca="1" si="251"/>
        <v>0.44887162144839937</v>
      </c>
      <c r="DJ250" s="18">
        <f t="shared" ca="1" si="274"/>
        <v>10.834413903133903</v>
      </c>
      <c r="DK250" s="18">
        <f t="shared" ca="1" si="275"/>
        <v>11.225586096866095</v>
      </c>
      <c r="DL250" s="9"/>
      <c r="DM250" s="9"/>
      <c r="DN250" s="9"/>
      <c r="DO250" s="9"/>
      <c r="DP250" s="79">
        <v>3.9010118249420925E-2</v>
      </c>
      <c r="DQ250" s="79">
        <v>3.615911138983758E-2</v>
      </c>
      <c r="DR250" s="79">
        <v>3.9010118249420925E-2</v>
      </c>
      <c r="DS250" s="79">
        <f t="shared" ca="1" si="252"/>
        <v>3.5464387464387466E-2</v>
      </c>
      <c r="DT250" s="47"/>
      <c r="DU250" s="43">
        <f t="shared" si="253"/>
        <v>0.3636963018783666</v>
      </c>
      <c r="DV250" s="83">
        <f t="shared" ca="1" si="254"/>
        <v>1.4726999999999999</v>
      </c>
      <c r="DW250" s="83">
        <f t="shared" ca="1" si="255"/>
        <v>1.2279</v>
      </c>
      <c r="DX250" s="83">
        <f t="shared" ref="DX250:DX270" ca="1" si="276">DV250-DW250</f>
        <v>0.24479999999999991</v>
      </c>
      <c r="DY250" s="67"/>
      <c r="DZ250" s="67"/>
      <c r="EA250" s="85"/>
      <c r="EB250" s="44">
        <v>24500</v>
      </c>
      <c r="EC250" s="44" cm="1">
        <f t="array" aca="1" ref="EC250" ca="1">_FV(EE250,"Volume")</f>
        <v>21600</v>
      </c>
      <c r="EE250" s="2" t="e" vm="252">
        <v>#VALUE!</v>
      </c>
      <c r="EG250" s="10" cm="1">
        <f t="array" aca="1" ref="EG250" ca="1">_FV(EE250,"Ações em circulação",TRUE)</f>
        <v>797207800</v>
      </c>
      <c r="EH250" s="21">
        <f>VLOOKUP(BH250,Fundamentus!A:U,5,FALSE)</f>
        <v>0.111</v>
      </c>
      <c r="EI250" s="2">
        <f t="shared" ca="1" si="256"/>
        <v>79074395297.297302</v>
      </c>
      <c r="EJ250" s="20">
        <v>-10005963377.315315</v>
      </c>
      <c r="EK250" s="20">
        <f t="shared" ca="1" si="257"/>
        <v>-10042448202.756758</v>
      </c>
      <c r="EM250" s="40" t="str">
        <f>IF(VLOOKUP(BH250,Fundamentus!A:U,3,FALSE)&lt;15,"Bom",IF(VLOOKUP(BH250,Fundamentus!A:U,3,FALSE)&gt;15,"Ruim","n/a"))</f>
        <v>Bom</v>
      </c>
      <c r="EN250" s="36" t="str">
        <f>IF(VLOOKUP(BH250,Fundamentus!A:U,4,FALSE)&lt;1,"Baixo",IF(VLOOKUP(BH250,Fundamentus!A:U,4,FALSE)&lt;1.5,"Moderado",IF(VLOOKUP(BH250,Fundamentus!A:U,4,FALSE)&gt;1.5,"Alto","n/a")))</f>
        <v>Baixo</v>
      </c>
      <c r="EO250" s="20" t="str">
        <f>IF(VLOOKUP(BH250,Fundamentus!A:U,8,FALSE)&lt;0,"Risco elevado",IF(VLOOKUP(BH250,Fundamentus!A:U,8,FALSE)&lt;1,"Saudável",IF(VLOOKUP(BH250,Fundamentus!A:U,8,FALSE)&lt;3,"Estável",IF(VLOOKUP(BH250,Fundamentus!A:U,8,FALSE)&gt;3,"Alerta","n/a"))))</f>
        <v>Estável</v>
      </c>
      <c r="EP250" s="36" t="str">
        <f t="shared" si="258"/>
        <v>Ruim</v>
      </c>
      <c r="EQ250" s="20" t="str">
        <f>IF(VLOOKUP(BH250,Fundamentus!A:U,12,FALSE)&lt;2,"Subvalorizada",IF(VLOOKUP(BH250,Fundamentus!A:U,12,FALSE)&lt;6,"Muita barata",IF(VLOOKUP(BH250,Fundamentus!A:U,12,FALSE)&lt;6,"Barata",IF(VLOOKUP(BH250,Fundamentus!A:U,12,FALSE)&lt;8,"Atrativa",IF(VLOOKUP(BH250,Fundamentus!A:U,12,FALSE)&gt;8,"Supervalorizada","n/a")))))</f>
        <v>Atrativa</v>
      </c>
      <c r="ES250" s="20" t="str">
        <f>IF(VLOOKUP(BH250,Fundamentus!A:U,17,FALSE)&lt;0.1,"Fraco retorno",IF(VLOOKUP(BH250,Fundamentus!A:U,17,FALSE)&gt;0.1,"Bom retorno","n/a"))</f>
        <v>Bom retorno</v>
      </c>
      <c r="ET250" s="20" t="str">
        <f>IF(VLOOKUP(BH250,Fundamentus!A:U,16,FALSE)&lt;0.1,"Ineficiente",IF(VLOOKUP(BH250,Fundamentus!A:U,16,FALSE)&gt;0.1,"Eficiente","n/a"))</f>
        <v>Ineficiente</v>
      </c>
      <c r="EU250" s="41" t="str">
        <f>IF(VLOOKUP(BH250,Fundamentus!A:U,16,FALSE)&lt;0.1,"Oper. Ineficiente",IF(VLOOKUP(BH250,Fundamentus!A:U,16,FALSE)&gt;0.1,"Oper.Eficiente","n/a"))</f>
        <v>Oper. Ineficiente</v>
      </c>
      <c r="EV250" s="42">
        <f>VLOOKUP(BH250,Fundamentus!A:U,14,FALSE)</f>
        <v>-0.127</v>
      </c>
      <c r="EW250" s="20" t="str">
        <f>IF(VLOOKUP(BH250,Fundamentus!A:U,21,FALSE)&lt;0,"Negativo",IF(VLOOKUP(BH250,Fundamentus!A:U,21,FALSE)&lt;0.05,"Fraco",IF(VLOOKUP(BH250,Fundamentus!A:U,21,FALSE)&lt;0.1,"Bom",IF(VLOOKUP(BH250,Fundamentus!A:U,21,FALSE)&gt;0.1,"Muito bom","n/a"))))</f>
        <v>Negativo</v>
      </c>
      <c r="EY250" s="37" t="str">
        <f>IF(VLOOKUP(BH250,Fundamentus!A:U,15,FALSE)&gt;1,"Bom",IF(VLOOKUP(BH250,Fundamentus!A:U,15,FALSE)&lt;1,"Ruim","n/a"))</f>
        <v>Bom</v>
      </c>
      <c r="EZ250" s="20" t="str">
        <f>IF(VLOOKUP(BH250,Fundamentus!A:U,20,FALSE)&lt;0.5,"Baixa",IF(VLOOKUP(BH250,Fundamentus!A:U,20,FALSE)&lt;1,"Moderada",IF(VLOOKUP(BH250,Fundamentus!A:U,20,FALSE)&lt;2,"Alerta",IF(VLOOKUP(BH250,Fundamentus!A:U,20,FALSE)&gt;2,"Alta","n/a"))))</f>
        <v>Baixa</v>
      </c>
    </row>
    <row r="251" spans="1:156" s="2" customFormat="1" ht="11.25" hidden="1" x14ac:dyDescent="0.2">
      <c r="A251" s="4">
        <v>2.5499999999999998</v>
      </c>
      <c r="B251" s="4">
        <v>1.98</v>
      </c>
      <c r="C251" s="4">
        <v>2</v>
      </c>
      <c r="D251" s="4">
        <v>1.93</v>
      </c>
      <c r="E251" s="4">
        <v>1.8</v>
      </c>
      <c r="F251" s="4">
        <v>1.7</v>
      </c>
      <c r="G251" s="4">
        <v>1.56</v>
      </c>
      <c r="H251" s="4">
        <v>1.52</v>
      </c>
      <c r="I251" s="4">
        <v>1.48</v>
      </c>
      <c r="J251" s="4">
        <v>1.65</v>
      </c>
      <c r="K251" s="4">
        <v>1.7</v>
      </c>
      <c r="L251" s="4">
        <v>1.62</v>
      </c>
      <c r="M251" s="4">
        <v>1.54</v>
      </c>
      <c r="N251" s="4">
        <v>1.53</v>
      </c>
      <c r="O251" s="4">
        <v>1.32</v>
      </c>
      <c r="P251" s="4">
        <v>1.23</v>
      </c>
      <c r="Q251" s="4">
        <v>1.2</v>
      </c>
      <c r="R251" s="4">
        <v>1.0900000000000001</v>
      </c>
      <c r="S251" s="4">
        <v>0.98</v>
      </c>
      <c r="T251" s="4">
        <v>0.96</v>
      </c>
      <c r="U251" s="4">
        <v>1.01</v>
      </c>
      <c r="V251" s="4">
        <v>1.05</v>
      </c>
      <c r="W251" s="4">
        <v>0.98</v>
      </c>
      <c r="X251" s="4">
        <v>0.95</v>
      </c>
      <c r="Y251" s="4">
        <v>0.96</v>
      </c>
      <c r="Z251" s="4">
        <v>0.93</v>
      </c>
      <c r="AA251" s="4">
        <v>0.9</v>
      </c>
      <c r="AB251" s="4">
        <v>0.89</v>
      </c>
      <c r="AC251" s="4">
        <v>0.84</v>
      </c>
      <c r="AD251" s="4">
        <v>0.76</v>
      </c>
      <c r="AE251" s="4">
        <v>0.8</v>
      </c>
      <c r="AF251" s="4">
        <v>0.71</v>
      </c>
      <c r="AG251" s="4">
        <v>0.72</v>
      </c>
      <c r="AH251" s="4">
        <v>0.69</v>
      </c>
      <c r="AI251" s="4">
        <v>0.68</v>
      </c>
      <c r="AJ251" s="4">
        <v>0.71</v>
      </c>
      <c r="AK251" s="4">
        <v>0.76</v>
      </c>
      <c r="AL251" s="4">
        <v>0.75</v>
      </c>
      <c r="AM251" s="4">
        <v>0.72</v>
      </c>
      <c r="AN251" s="4">
        <v>0.74</v>
      </c>
      <c r="AO251" s="4">
        <v>0.71</v>
      </c>
      <c r="AP251" s="4">
        <v>0.71</v>
      </c>
      <c r="AQ251" s="4">
        <v>0.7</v>
      </c>
      <c r="AR251" s="4">
        <v>0.77</v>
      </c>
      <c r="AS251" s="4">
        <v>0.73</v>
      </c>
      <c r="AT251" s="4">
        <v>0.72</v>
      </c>
      <c r="AU251" s="4">
        <v>0.75</v>
      </c>
      <c r="AV251" s="4">
        <v>0.68</v>
      </c>
      <c r="AW251" s="4">
        <v>0.66</v>
      </c>
      <c r="AX251" s="4">
        <v>0.63</v>
      </c>
      <c r="AY251" s="12">
        <v>0.64</v>
      </c>
      <c r="AZ251" s="12">
        <v>0.67</v>
      </c>
      <c r="BA251" s="12">
        <v>0.67</v>
      </c>
      <c r="BB251" s="18">
        <v>0.72</v>
      </c>
      <c r="BC251" s="63">
        <v>0.74</v>
      </c>
      <c r="BD251" s="63">
        <v>0.7</v>
      </c>
      <c r="BE251" s="63">
        <v>7</v>
      </c>
      <c r="BF251" s="63">
        <v>6.41</v>
      </c>
      <c r="BG251" s="91" cm="1">
        <f t="array" aca="1" ref="BG251" ca="1">_FV(EE251,"Preço")</f>
        <v>6.5</v>
      </c>
      <c r="BH251" s="93" t="s">
        <v>248</v>
      </c>
      <c r="BI251" s="32" cm="1">
        <f t="array" aca="1" ref="BI251" ca="1">_FV(EE251,"Beta")</f>
        <v>1.85</v>
      </c>
      <c r="BJ251" s="96" cm="1">
        <f t="array" aca="1" ref="BJ251" ca="1">_FV(EE251,"Variação (%)",TRUE)</f>
        <v>-1.5152000000000001E-2</v>
      </c>
      <c r="BK251" s="49"/>
      <c r="BL251" s="49"/>
      <c r="BN251" s="32"/>
      <c r="BO251" s="20" cm="1">
        <f t="array" aca="1" ref="BO251" ca="1">_FV(EE251,"Baixo")</f>
        <v>6.5</v>
      </c>
      <c r="BP251" s="20" cm="1">
        <f t="array" aca="1" ref="BP251" ca="1">_FV(EE251,"Alto")</f>
        <v>6.69</v>
      </c>
      <c r="BQ251" s="32"/>
      <c r="BR251" s="74" t="e">
        <f ca="1">SQRT(22.5*(BG251/VLOOKUP(BH251,Fundamentus!A:U,3,FALSE))*(BG251/VLOOKUP(BH251,Fundamentus!A:U,4,FALSE)))</f>
        <v>#NUM!</v>
      </c>
      <c r="BT251" s="73">
        <f t="shared" ca="1" si="235"/>
        <v>1.4040561622464877E-2</v>
      </c>
      <c r="BU251" s="36">
        <f t="shared" si="236"/>
        <v>1.7450980392156865</v>
      </c>
      <c r="BV251" s="8"/>
      <c r="BW251" s="72">
        <f t="shared" si="237"/>
        <v>0.63</v>
      </c>
      <c r="BX251" s="72">
        <f t="shared" si="238"/>
        <v>1.25</v>
      </c>
      <c r="BY251" s="72">
        <f t="shared" si="239"/>
        <v>7</v>
      </c>
      <c r="BZ251" s="17"/>
      <c r="CA251" s="17"/>
      <c r="CB251" s="43">
        <f t="shared" si="240"/>
        <v>3.3395107118666925</v>
      </c>
      <c r="CC251" s="18">
        <f t="shared" si="241"/>
        <v>9.3391002811622457</v>
      </c>
      <c r="CD251" s="43">
        <f t="shared" si="242"/>
        <v>15.338689850457799</v>
      </c>
      <c r="CE251" s="98">
        <f t="shared" ca="1" si="243"/>
        <v>-0.47321575057268478</v>
      </c>
      <c r="CF251" s="17"/>
      <c r="CG251" s="20">
        <f t="shared" si="244"/>
        <v>-4.0100000000000007</v>
      </c>
      <c r="CH251" s="20">
        <f t="shared" si="245"/>
        <v>-1.6900000000000004</v>
      </c>
      <c r="CI251" s="20">
        <f t="shared" si="246"/>
        <v>2.3599999999999994</v>
      </c>
      <c r="CJ251" s="49">
        <f t="shared" si="247"/>
        <v>4.68</v>
      </c>
      <c r="CK251" s="20">
        <f t="shared" si="248"/>
        <v>8.7299999999999986</v>
      </c>
      <c r="CL251" s="20">
        <f t="shared" si="249"/>
        <v>11.05</v>
      </c>
      <c r="CM251" s="20">
        <f t="shared" si="250"/>
        <v>15.1</v>
      </c>
      <c r="CN251" s="2" cm="1">
        <f t="array" aca="1" ref="CN251" ca="1">MAX(_xlfn._xlws.FILTER(CG251:CM251,CG251:CM251&lt;BG251))</f>
        <v>4.68</v>
      </c>
      <c r="CO251" s="2" cm="1">
        <f t="array" aca="1" ref="CO251" ca="1">MIN(_xlfn._xlws.FILTER($CG251:$CM251,$CG251:$CM251&gt;BG251))</f>
        <v>8.7299999999999986</v>
      </c>
      <c r="CP251" s="19">
        <f t="shared" ca="1" si="259"/>
        <v>0.8653846153846152</v>
      </c>
      <c r="CQ251" s="23">
        <f t="shared" ca="1" si="260"/>
        <v>-0.4326923076923076</v>
      </c>
      <c r="CR251" s="23">
        <f t="shared" ca="1" si="261"/>
        <v>-0.28846153846153838</v>
      </c>
      <c r="CS251" s="23">
        <f t="shared" ca="1" si="262"/>
        <v>-0.17307692307692304</v>
      </c>
      <c r="CT251" s="23">
        <f t="shared" ca="1" si="263"/>
        <v>-9.6153846153846131E-2</v>
      </c>
      <c r="CU251" s="23">
        <f t="shared" ca="1" si="264"/>
        <v>-5.0904977375565597E-2</v>
      </c>
      <c r="CV251" s="23">
        <f t="shared" ca="1" si="265"/>
        <v>-2.6223776223776217E-2</v>
      </c>
      <c r="CW251" s="23">
        <f t="shared" ca="1" si="266"/>
        <v>-1.3313609467455618E-2</v>
      </c>
      <c r="CX251" s="24">
        <f t="shared" ca="1" si="267"/>
        <v>1.3313609467455618E-2</v>
      </c>
      <c r="CY251" s="24">
        <f t="shared" ca="1" si="268"/>
        <v>2.6223776223776217E-2</v>
      </c>
      <c r="CZ251" s="24">
        <f t="shared" ca="1" si="269"/>
        <v>5.0904977375565597E-2</v>
      </c>
      <c r="DA251" s="24">
        <f t="shared" ca="1" si="270"/>
        <v>9.6153846153846131E-2</v>
      </c>
      <c r="DB251" s="24">
        <f t="shared" ca="1" si="271"/>
        <v>0.17307692307692304</v>
      </c>
      <c r="DC251" s="24">
        <f t="shared" ca="1" si="272"/>
        <v>0.28846153846153838</v>
      </c>
      <c r="DD251" s="24">
        <f t="shared" ca="1" si="273"/>
        <v>0.4326923076923076</v>
      </c>
      <c r="DF251" s="19" cm="1">
        <f t="array" aca="1" ref="DF251" ca="1">MAX(_xlfn._xlws.FILTER(CQ251:DD251,CQ251:DD251&lt;BJ251))</f>
        <v>-2.6223776223776217E-2</v>
      </c>
      <c r="DG251" s="19" cm="1">
        <f t="array" aca="1" ref="DG251" ca="1">MIN(_xlfn._xlws.FILTER(CQ251:DD251,CQ251:DD251&gt;BJ251))</f>
        <v>-1.3313609467455618E-2</v>
      </c>
      <c r="DH251" s="2" cm="1">
        <f t="array" aca="1" ref="DH251" ca="1">_FV(EE251,"Fechamento anterior",TRUE)</f>
        <v>6.6</v>
      </c>
      <c r="DI251" s="36">
        <f t="shared" ca="1" si="251"/>
        <v>0.85763888888889728</v>
      </c>
      <c r="DJ251" s="18">
        <f t="shared" ca="1" si="274"/>
        <v>6.4269230769230763</v>
      </c>
      <c r="DK251" s="18">
        <f t="shared" ca="1" si="275"/>
        <v>6.5121301775147922</v>
      </c>
      <c r="DL251" s="9"/>
      <c r="DM251" s="9"/>
      <c r="DN251" s="9"/>
      <c r="DO251" s="9"/>
      <c r="DP251" s="79">
        <v>3.9384615384615351</v>
      </c>
      <c r="DQ251" s="79">
        <v>7.8108644648980347E-2</v>
      </c>
      <c r="DR251" s="79">
        <v>1.6707731475717719E-2</v>
      </c>
      <c r="DS251" s="79">
        <f t="shared" ca="1" si="252"/>
        <v>1.2910166756320599E-2</v>
      </c>
      <c r="DT251" s="47"/>
      <c r="DU251" s="43">
        <f t="shared" si="253"/>
        <v>2.9997947846477766</v>
      </c>
      <c r="DV251" s="83">
        <f t="shared" ca="1" si="254"/>
        <v>2.2761</v>
      </c>
      <c r="DW251" s="83">
        <f t="shared" ca="1" si="255"/>
        <v>3.3652000000000002</v>
      </c>
      <c r="DX251" s="83">
        <f t="shared" ca="1" si="276"/>
        <v>-1.0891000000000002</v>
      </c>
      <c r="DY251" s="67"/>
      <c r="DZ251" s="67"/>
      <c r="EA251" s="85"/>
      <c r="EB251" s="44">
        <v>28100</v>
      </c>
      <c r="EC251" s="44" cm="1">
        <f t="array" aca="1" ref="EC251" ca="1">_FV(EE251,"Volume")</f>
        <v>14900</v>
      </c>
      <c r="EE251" s="2" t="e" vm="253">
        <v>#VALUE!</v>
      </c>
      <c r="EG251" s="10" cm="1">
        <f t="array" aca="1" ref="EG251" ca="1">_FV(EE251,"Ações em circulação",TRUE)</f>
        <v>67412640</v>
      </c>
      <c r="EH251" s="21">
        <f>VLOOKUP(BH251,Fundamentus!A:U,5,FALSE)</f>
        <v>0.28799999999999998</v>
      </c>
      <c r="EI251" s="2">
        <f t="shared" ca="1" si="256"/>
        <v>1521465833.3333335</v>
      </c>
      <c r="EJ251" s="20">
        <v>-749149412.09833348</v>
      </c>
      <c r="EK251" s="20">
        <f t="shared" ca="1" si="257"/>
        <v>-759667890.58333349</v>
      </c>
      <c r="EM251" s="40" t="str">
        <f>IF(VLOOKUP(BH251,Fundamentus!A:U,3,FALSE)&lt;15,"Bom",IF(VLOOKUP(BH251,Fundamentus!A:U,3,FALSE)&gt;15,"Ruim","n/a"))</f>
        <v>Bom</v>
      </c>
      <c r="EN251" s="36" t="str">
        <f>IF(VLOOKUP(BH251,Fundamentus!A:U,4,FALSE)&lt;1,"Baixo",IF(VLOOKUP(BH251,Fundamentus!A:U,4,FALSE)&lt;1.5,"Moderado",IF(VLOOKUP(BH251,Fundamentus!A:U,4,FALSE)&gt;1.5,"Alto","n/a")))</f>
        <v>Baixo</v>
      </c>
      <c r="EO251" s="20" t="str">
        <f>IF(VLOOKUP(BH251,Fundamentus!A:U,8,FALSE)&lt;0,"Risco elevado",IF(VLOOKUP(BH251,Fundamentus!A:U,8,FALSE)&lt;1,"Saudável",IF(VLOOKUP(BH251,Fundamentus!A:U,8,FALSE)&lt;3,"Estável",IF(VLOOKUP(BH251,Fundamentus!A:U,8,FALSE)&gt;3,"Alerta","n/a"))))</f>
        <v>Saudável</v>
      </c>
      <c r="EP251" s="36" t="str">
        <f t="shared" si="258"/>
        <v>Ruim</v>
      </c>
      <c r="EQ251" s="20" t="str">
        <f>IF(VLOOKUP(BH251,Fundamentus!A:U,12,FALSE)&lt;2,"Subvalorizada",IF(VLOOKUP(BH251,Fundamentus!A:U,12,FALSE)&lt;6,"Muita barata",IF(VLOOKUP(BH251,Fundamentus!A:U,12,FALSE)&lt;6,"Barata",IF(VLOOKUP(BH251,Fundamentus!A:U,12,FALSE)&lt;8,"Atrativa",IF(VLOOKUP(BH251,Fundamentus!A:U,12,FALSE)&gt;8,"Supervalorizada","n/a")))))</f>
        <v>Subvalorizada</v>
      </c>
      <c r="ES251" s="20" t="str">
        <f>IF(VLOOKUP(BH251,Fundamentus!A:U,17,FALSE)&lt;0.1,"Fraco retorno",IF(VLOOKUP(BH251,Fundamentus!A:U,17,FALSE)&gt;0.1,"Bom retorno","n/a"))</f>
        <v>Fraco retorno</v>
      </c>
      <c r="ET251" s="20" t="str">
        <f>IF(VLOOKUP(BH251,Fundamentus!A:U,16,FALSE)&lt;0.1,"Ineficiente",IF(VLOOKUP(BH251,Fundamentus!A:U,16,FALSE)&gt;0.1,"Eficiente","n/a"))</f>
        <v>Ineficiente</v>
      </c>
      <c r="EU251" s="41" t="str">
        <f>IF(VLOOKUP(BH251,Fundamentus!A:U,16,FALSE)&lt;0.1,"Oper. Ineficiente",IF(VLOOKUP(BH251,Fundamentus!A:U,16,FALSE)&gt;0.1,"Oper.Eficiente","n/a"))</f>
        <v>Oper. Ineficiente</v>
      </c>
      <c r="EV251" s="42">
        <f>VLOOKUP(BH251,Fundamentus!A:U,14,FALSE)</f>
        <v>-0.49930000000000002</v>
      </c>
      <c r="EW251" s="20" t="str">
        <f>IF(VLOOKUP(BH251,Fundamentus!A:U,21,FALSE)&lt;0,"Negativo",IF(VLOOKUP(BH251,Fundamentus!A:U,21,FALSE)&lt;0.05,"Fraco",IF(VLOOKUP(BH251,Fundamentus!A:U,21,FALSE)&lt;0.1,"Bom",IF(VLOOKUP(BH251,Fundamentus!A:U,21,FALSE)&gt;0.1,"Muito bom","n/a"))))</f>
        <v>Muito bom</v>
      </c>
      <c r="EY251" s="37" t="str">
        <f>IF(VLOOKUP(BH251,Fundamentus!A:U,15,FALSE)&gt;1,"Bom",IF(VLOOKUP(BH251,Fundamentus!A:U,15,FALSE)&lt;1,"Ruim","n/a"))</f>
        <v>Bom</v>
      </c>
      <c r="EZ251" s="20" t="str">
        <f>IF(VLOOKUP(BH251,Fundamentus!A:U,20,FALSE)&lt;0.5,"Baixa",IF(VLOOKUP(BH251,Fundamentus!A:U,20,FALSE)&lt;1,"Moderada",IF(VLOOKUP(BH251,Fundamentus!A:U,20,FALSE)&lt;2,"Alerta",IF(VLOOKUP(BH251,Fundamentus!A:U,20,FALSE)&gt;2,"Alta","n/a"))))</f>
        <v>Moderada</v>
      </c>
    </row>
    <row r="252" spans="1:156" s="2" customFormat="1" ht="11.25" hidden="1" x14ac:dyDescent="0.2">
      <c r="A252" s="4">
        <v>1.49</v>
      </c>
      <c r="B252" s="4">
        <v>1.36</v>
      </c>
      <c r="C252" s="4">
        <v>1.38</v>
      </c>
      <c r="D252" s="4">
        <v>1.31</v>
      </c>
      <c r="E252" s="4">
        <v>1.24</v>
      </c>
      <c r="F252" s="4">
        <v>1.23</v>
      </c>
      <c r="G252" s="4">
        <v>1.28</v>
      </c>
      <c r="H252" s="4">
        <v>1.42</v>
      </c>
      <c r="I252" s="4">
        <v>1.59</v>
      </c>
      <c r="J252" s="4">
        <v>1.62</v>
      </c>
      <c r="K252" s="4">
        <v>1.69</v>
      </c>
      <c r="L252" s="4">
        <v>1.59</v>
      </c>
      <c r="M252" s="4">
        <v>1.43</v>
      </c>
      <c r="N252" s="4">
        <v>1.45</v>
      </c>
      <c r="O252" s="4">
        <v>1.53</v>
      </c>
      <c r="P252" s="4">
        <v>1.46</v>
      </c>
      <c r="Q252" s="4">
        <v>1.46</v>
      </c>
      <c r="R252" s="4">
        <v>1.5</v>
      </c>
      <c r="S252" s="4">
        <v>1.41</v>
      </c>
      <c r="T252" s="4">
        <v>1.32</v>
      </c>
      <c r="U252" s="4">
        <v>1.19</v>
      </c>
      <c r="V252" s="4">
        <v>1.36</v>
      </c>
      <c r="W252" s="4">
        <v>1.28</v>
      </c>
      <c r="X252" s="4">
        <v>1.25</v>
      </c>
      <c r="Y252" s="4">
        <v>1.24</v>
      </c>
      <c r="Z252" s="4">
        <v>1.21</v>
      </c>
      <c r="AA252" s="4">
        <v>1.1299999999999999</v>
      </c>
      <c r="AB252" s="4">
        <v>1.1599999999999999</v>
      </c>
      <c r="AC252" s="4">
        <v>1.1599999999999999</v>
      </c>
      <c r="AD252" s="4">
        <v>1.06</v>
      </c>
      <c r="AE252" s="4">
        <v>0.91</v>
      </c>
      <c r="AF252" s="4">
        <v>0.81</v>
      </c>
      <c r="AG252" s="4">
        <v>1.02</v>
      </c>
      <c r="AH252" s="4">
        <v>1.03</v>
      </c>
      <c r="AI252" s="4">
        <v>1.05</v>
      </c>
      <c r="AJ252" s="4">
        <v>1.01</v>
      </c>
      <c r="AK252" s="4">
        <v>0.98</v>
      </c>
      <c r="AL252" s="4">
        <v>1.07</v>
      </c>
      <c r="AM252" s="4">
        <v>1.23</v>
      </c>
      <c r="AN252" s="4">
        <v>1.28</v>
      </c>
      <c r="AO252" s="4">
        <v>1.6</v>
      </c>
      <c r="AP252" s="4">
        <v>0.8</v>
      </c>
      <c r="AQ252" s="4">
        <v>0.92</v>
      </c>
      <c r="AR252" s="4">
        <v>1.1399999999999999</v>
      </c>
      <c r="AS252" s="4">
        <v>1.04</v>
      </c>
      <c r="AT252" s="4">
        <v>0.89</v>
      </c>
      <c r="AU252" s="4">
        <v>0.91</v>
      </c>
      <c r="AV252" s="4">
        <v>0.91</v>
      </c>
      <c r="AW252" s="4">
        <v>0.8</v>
      </c>
      <c r="AX252" s="4">
        <v>0.77</v>
      </c>
      <c r="AY252" s="12">
        <v>0.72</v>
      </c>
      <c r="AZ252" s="12">
        <v>0.7</v>
      </c>
      <c r="BA252" s="12">
        <v>0.67</v>
      </c>
      <c r="BB252" s="18">
        <v>0.74</v>
      </c>
      <c r="BC252" s="63">
        <v>0.71</v>
      </c>
      <c r="BD252" s="63">
        <v>0.59</v>
      </c>
      <c r="BE252" s="63">
        <v>0.56000000000000005</v>
      </c>
      <c r="BF252" s="63">
        <v>0.56999999999999995</v>
      </c>
      <c r="BG252" s="91" cm="1">
        <f t="array" aca="1" ref="BG252" ca="1">_FV(EE252,"Preço")</f>
        <v>0.5</v>
      </c>
      <c r="BH252" s="93" t="s">
        <v>249</v>
      </c>
      <c r="BI252" s="32" cm="1">
        <f t="array" aca="1" ref="BI252" ca="1">_FV(EE252,"Beta")</f>
        <v>1.0085</v>
      </c>
      <c r="BJ252" s="96" cm="1">
        <f t="array" aca="1" ref="BJ252" ca="1">_FV(EE252,"Variação (%)",TRUE)</f>
        <v>0</v>
      </c>
      <c r="BK252" s="49"/>
      <c r="BL252" s="49"/>
      <c r="BN252" s="32"/>
      <c r="BO252" s="20" cm="1">
        <f t="array" aca="1" ref="BO252" ca="1">_FV(EE252,"Baixo")</f>
        <v>0.49</v>
      </c>
      <c r="BP252" s="20" cm="1">
        <f t="array" aca="1" ref="BP252" ca="1">_FV(EE252,"Alto")</f>
        <v>0.51</v>
      </c>
      <c r="BQ252" s="32"/>
      <c r="BR252" s="74" t="e">
        <f ca="1">SQRT(22.5*(BG252/VLOOKUP(BH252,Fundamentus!A:U,3,FALSE))*(BG252/VLOOKUP(BH252,Fundamentus!A:U,4,FALSE)))</f>
        <v>#NUM!</v>
      </c>
      <c r="BT252" s="73">
        <f t="shared" ca="1" si="235"/>
        <v>-0.12280701754385957</v>
      </c>
      <c r="BU252" s="36">
        <f t="shared" si="236"/>
        <v>-0.62416107382550334</v>
      </c>
      <c r="BV252" s="8"/>
      <c r="BW252" s="72">
        <f t="shared" si="237"/>
        <v>0.56000000000000005</v>
      </c>
      <c r="BX252" s="72">
        <f t="shared" si="238"/>
        <v>1.1418965517241377</v>
      </c>
      <c r="BY252" s="72">
        <f t="shared" si="239"/>
        <v>1.69</v>
      </c>
      <c r="BZ252" s="17"/>
      <c r="CA252" s="17"/>
      <c r="CB252" s="43">
        <f t="shared" si="240"/>
        <v>0.3755641945046555</v>
      </c>
      <c r="CC252" s="18">
        <f t="shared" si="241"/>
        <v>0.49587628865981515</v>
      </c>
      <c r="CD252" s="43">
        <f t="shared" si="242"/>
        <v>0.61618838281497479</v>
      </c>
      <c r="CE252" s="98">
        <f t="shared" ca="1" si="243"/>
        <v>3.4275118965735395E-2</v>
      </c>
      <c r="CF252" s="17"/>
      <c r="CG252" s="20">
        <f t="shared" si="244"/>
        <v>-0.94</v>
      </c>
      <c r="CH252" s="20">
        <f t="shared" si="245"/>
        <v>-0.18999999999999995</v>
      </c>
      <c r="CI252" s="20">
        <f t="shared" si="246"/>
        <v>0.18999999999999995</v>
      </c>
      <c r="CJ252" s="49">
        <f t="shared" si="247"/>
        <v>0.94</v>
      </c>
      <c r="CK252" s="20">
        <f t="shared" si="248"/>
        <v>1.3199999999999998</v>
      </c>
      <c r="CL252" s="20">
        <f t="shared" si="249"/>
        <v>2.0699999999999998</v>
      </c>
      <c r="CM252" s="20">
        <f t="shared" si="250"/>
        <v>2.4499999999999997</v>
      </c>
      <c r="CN252" s="2" cm="1">
        <f t="array" aca="1" ref="CN252" ca="1">MAX(_xlfn._xlws.FILTER(CG252:CM252,CG252:CM252&lt;BG252))</f>
        <v>0.18999999999999995</v>
      </c>
      <c r="CO252" s="2" cm="1">
        <f t="array" aca="1" ref="CO252" ca="1">MIN(_xlfn._xlws.FILTER($CG252:$CM252,$CG252:$CM252&gt;BG252))</f>
        <v>0.94</v>
      </c>
      <c r="CP252" s="19">
        <f t="shared" ca="1" si="259"/>
        <v>3.9473684210526327</v>
      </c>
      <c r="CQ252" s="23">
        <f t="shared" ca="1" si="260"/>
        <v>-1.9736842105263164</v>
      </c>
      <c r="CR252" s="23">
        <f t="shared" ca="1" si="261"/>
        <v>-1.3157894736842108</v>
      </c>
      <c r="CS252" s="23">
        <f t="shared" ca="1" si="262"/>
        <v>-0.78947368421052655</v>
      </c>
      <c r="CT252" s="23">
        <f t="shared" ca="1" si="263"/>
        <v>-0.43859649122807032</v>
      </c>
      <c r="CU252" s="23">
        <f t="shared" ca="1" si="264"/>
        <v>-0.23219814241486075</v>
      </c>
      <c r="CV252" s="23">
        <f t="shared" ca="1" si="265"/>
        <v>-0.11961722488038282</v>
      </c>
      <c r="CW252" s="23">
        <f t="shared" ca="1" si="266"/>
        <v>-6.0728744939271273E-2</v>
      </c>
      <c r="CX252" s="24">
        <f t="shared" ca="1" si="267"/>
        <v>6.0728744939271273E-2</v>
      </c>
      <c r="CY252" s="24">
        <f t="shared" ca="1" si="268"/>
        <v>0.11961722488038282</v>
      </c>
      <c r="CZ252" s="24">
        <f t="shared" ca="1" si="269"/>
        <v>0.23219814241486075</v>
      </c>
      <c r="DA252" s="24">
        <f t="shared" ca="1" si="270"/>
        <v>0.43859649122807032</v>
      </c>
      <c r="DB252" s="24">
        <f t="shared" ca="1" si="271"/>
        <v>0.78947368421052655</v>
      </c>
      <c r="DC252" s="24">
        <f t="shared" ca="1" si="272"/>
        <v>1.3157894736842108</v>
      </c>
      <c r="DD252" s="24">
        <f t="shared" ca="1" si="273"/>
        <v>1.9736842105263164</v>
      </c>
      <c r="DF252" s="19" cm="1">
        <f t="array" aca="1" ref="DF252" ca="1">MAX(_xlfn._xlws.FILTER(CQ252:DD252,CQ252:DD252&lt;BJ252))</f>
        <v>-6.0728744939271273E-2</v>
      </c>
      <c r="DG252" s="19" cm="1">
        <f t="array" aca="1" ref="DG252" ca="1">MIN(_xlfn._xlws.FILTER(CQ252:DD252,CQ252:DD252&gt;BJ252))</f>
        <v>6.0728744939271273E-2</v>
      </c>
      <c r="DH252" s="2" cm="1">
        <f t="array" aca="1" ref="DH252" ca="1">_FV(EE252,"Fechamento anterior",TRUE)</f>
        <v>0.5</v>
      </c>
      <c r="DI252" s="36">
        <f t="shared" ca="1" si="251"/>
        <v>0.5</v>
      </c>
      <c r="DJ252" s="18">
        <f t="shared" ca="1" si="274"/>
        <v>0.46963562753036436</v>
      </c>
      <c r="DK252" s="18">
        <f t="shared" ca="1" si="275"/>
        <v>0.53036437246963564</v>
      </c>
      <c r="DL252" s="9"/>
      <c r="DM252" s="9"/>
      <c r="DN252" s="9"/>
      <c r="DO252" s="9"/>
      <c r="DP252" s="79">
        <v>7.1665043816942581E-2</v>
      </c>
      <c r="DQ252" s="79">
        <v>0.18109890109890073</v>
      </c>
      <c r="DR252" s="79">
        <v>0.18109890109890073</v>
      </c>
      <c r="DS252" s="79">
        <f t="shared" ca="1" si="252"/>
        <v>0.12145748987854255</v>
      </c>
      <c r="DT252" s="47"/>
      <c r="DU252" s="43">
        <f t="shared" si="253"/>
        <v>6.0156047077579808E-2</v>
      </c>
      <c r="DV252" s="83">
        <f t="shared" ca="1" si="254"/>
        <v>1.4345999999999999</v>
      </c>
      <c r="DW252" s="83">
        <f t="shared" ca="1" si="255"/>
        <v>1.0085</v>
      </c>
      <c r="DX252" s="83">
        <f t="shared" ca="1" si="276"/>
        <v>0.42609999999999992</v>
      </c>
      <c r="DY252" s="67"/>
      <c r="DZ252" s="67"/>
      <c r="EA252" s="85"/>
      <c r="EB252" s="44">
        <v>2417400</v>
      </c>
      <c r="EC252" s="44" cm="1">
        <f t="array" aca="1" ref="EC252" ca="1">_FV(EE252,"Volume")</f>
        <v>813900</v>
      </c>
      <c r="EE252" s="2" t="e" vm="254">
        <v>#VALUE!</v>
      </c>
      <c r="EG252" s="10" cm="1">
        <f t="array" aca="1" ref="EG252" ca="1">_FV(EE252,"Ações em circulação",TRUE)</f>
        <v>592753700</v>
      </c>
      <c r="EH252" s="21">
        <f>VLOOKUP(BH252,Fundamentus!A:U,5,FALSE)</f>
        <v>2.121</v>
      </c>
      <c r="EI252" s="2">
        <f t="shared" ca="1" si="256"/>
        <v>139734488.44884488</v>
      </c>
      <c r="EJ252" s="20">
        <v>-90911408.153465331</v>
      </c>
      <c r="EK252" s="20">
        <f t="shared" ca="1" si="257"/>
        <v>-239239417.6732673</v>
      </c>
      <c r="EM252" s="40" t="str">
        <f>IF(VLOOKUP(BH252,Fundamentus!A:U,3,FALSE)&lt;15,"Bom",IF(VLOOKUP(BH252,Fundamentus!A:U,3,FALSE)&gt;15,"Ruim","n/a"))</f>
        <v>Bom</v>
      </c>
      <c r="EN252" s="36" t="str">
        <f>IF(VLOOKUP(BH252,Fundamentus!A:U,4,FALSE)&lt;1,"Baixo",IF(VLOOKUP(BH252,Fundamentus!A:U,4,FALSE)&lt;1.5,"Moderado",IF(VLOOKUP(BH252,Fundamentus!A:U,4,FALSE)&gt;1.5,"Alto","n/a")))</f>
        <v>Baixo</v>
      </c>
      <c r="EO252" s="20" t="str">
        <f>IF(VLOOKUP(BH252,Fundamentus!A:U,8,FALSE)&lt;0,"Risco elevado",IF(VLOOKUP(BH252,Fundamentus!A:U,8,FALSE)&lt;1,"Saudável",IF(VLOOKUP(BH252,Fundamentus!A:U,8,FALSE)&lt;3,"Estável",IF(VLOOKUP(BH252,Fundamentus!A:U,8,FALSE)&gt;3,"Alerta","n/a"))))</f>
        <v>Risco elevado</v>
      </c>
      <c r="EP252" s="36" t="str">
        <f t="shared" si="258"/>
        <v>Bom</v>
      </c>
      <c r="EQ252" s="20" t="str">
        <f>IF(VLOOKUP(BH252,Fundamentus!A:U,12,FALSE)&lt;2,"Subvalorizada",IF(VLOOKUP(BH252,Fundamentus!A:U,12,FALSE)&lt;6,"Muita barata",IF(VLOOKUP(BH252,Fundamentus!A:U,12,FALSE)&lt;6,"Barata",IF(VLOOKUP(BH252,Fundamentus!A:U,12,FALSE)&lt;8,"Atrativa",IF(VLOOKUP(BH252,Fundamentus!A:U,12,FALSE)&gt;8,"Supervalorizada","n/a")))))</f>
        <v>Subvalorizada</v>
      </c>
      <c r="ES252" s="20" t="str">
        <f>IF(VLOOKUP(BH252,Fundamentus!A:U,17,FALSE)&lt;0.1,"Fraco retorno",IF(VLOOKUP(BH252,Fundamentus!A:U,17,FALSE)&gt;0.1,"Bom retorno","n/a"))</f>
        <v>Fraco retorno</v>
      </c>
      <c r="ET252" s="20" t="str">
        <f>IF(VLOOKUP(BH252,Fundamentus!A:U,16,FALSE)&lt;0.1,"Ineficiente",IF(VLOOKUP(BH252,Fundamentus!A:U,16,FALSE)&gt;0.1,"Eficiente","n/a"))</f>
        <v>Ineficiente</v>
      </c>
      <c r="EU252" s="41" t="str">
        <f>IF(VLOOKUP(BH252,Fundamentus!A:U,16,FALSE)&lt;0.1,"Oper. Ineficiente",IF(VLOOKUP(BH252,Fundamentus!A:U,16,FALSE)&gt;0.1,"Oper.Eficiente","n/a"))</f>
        <v>Oper. Ineficiente</v>
      </c>
      <c r="EV252" s="42">
        <f>VLOOKUP(BH252,Fundamentus!A:U,14,FALSE)</f>
        <v>-1.7121</v>
      </c>
      <c r="EW252" s="20" t="str">
        <f>IF(VLOOKUP(BH252,Fundamentus!A:U,21,FALSE)&lt;0,"Negativo",IF(VLOOKUP(BH252,Fundamentus!A:U,21,FALSE)&lt;0.05,"Fraco",IF(VLOOKUP(BH252,Fundamentus!A:U,21,FALSE)&lt;0.1,"Bom",IF(VLOOKUP(BH252,Fundamentus!A:U,21,FALSE)&gt;0.1,"Muito bom","n/a"))))</f>
        <v>Muito bom</v>
      </c>
      <c r="EY252" s="37" t="str">
        <f>IF(VLOOKUP(BH252,Fundamentus!A:U,15,FALSE)&gt;1,"Bom",IF(VLOOKUP(BH252,Fundamentus!A:U,15,FALSE)&lt;1,"Ruim","n/a"))</f>
        <v>Ruim</v>
      </c>
      <c r="EZ252" s="20" t="str">
        <f>IF(VLOOKUP(BH252,Fundamentus!A:U,20,FALSE)&lt;0.5,"Baixa",IF(VLOOKUP(BH252,Fundamentus!A:U,20,FALSE)&lt;1,"Moderada",IF(VLOOKUP(BH252,Fundamentus!A:U,20,FALSE)&lt;2,"Alerta",IF(VLOOKUP(BH252,Fundamentus!A:U,20,FALSE)&gt;2,"Alta","n/a"))))</f>
        <v>Baixa</v>
      </c>
    </row>
    <row r="253" spans="1:156" s="2" customFormat="1" ht="11.25" hidden="1" x14ac:dyDescent="0.2">
      <c r="A253" s="4">
        <v>1.37</v>
      </c>
      <c r="B253" s="4">
        <v>1.24</v>
      </c>
      <c r="C253" s="4">
        <v>1.26</v>
      </c>
      <c r="D253" s="4">
        <v>1.41</v>
      </c>
      <c r="E253" s="4">
        <v>1.1100000000000001</v>
      </c>
      <c r="F253" s="4">
        <v>1.1000000000000001</v>
      </c>
      <c r="G253" s="4">
        <v>1.08</v>
      </c>
      <c r="H253" s="4">
        <v>1.02</v>
      </c>
      <c r="I253" s="4">
        <v>1.03</v>
      </c>
      <c r="J253" s="4">
        <v>1.18</v>
      </c>
      <c r="K253" s="4">
        <v>1.25</v>
      </c>
      <c r="L253" s="4">
        <v>1.18</v>
      </c>
      <c r="M253" s="4">
        <v>1.1599999999999999</v>
      </c>
      <c r="N253" s="4">
        <v>1.0900000000000001</v>
      </c>
      <c r="O253" s="4">
        <v>1.1000000000000001</v>
      </c>
      <c r="P253" s="4">
        <v>1.08</v>
      </c>
      <c r="Q253" s="4">
        <v>1.1100000000000001</v>
      </c>
      <c r="R253" s="4">
        <v>1.08</v>
      </c>
      <c r="S253" s="4">
        <v>1.05</v>
      </c>
      <c r="T253" s="4">
        <v>1.0900000000000001</v>
      </c>
      <c r="U253" s="4">
        <v>1.0900000000000001</v>
      </c>
      <c r="V253" s="4">
        <v>1.1000000000000001</v>
      </c>
      <c r="W253" s="4">
        <v>1.05</v>
      </c>
      <c r="X253" s="4">
        <v>1.08</v>
      </c>
      <c r="Y253" s="4">
        <v>1.1000000000000001</v>
      </c>
      <c r="Z253" s="4">
        <v>1.1000000000000001</v>
      </c>
      <c r="AA253" s="4">
        <v>1.1100000000000001</v>
      </c>
      <c r="AB253" s="4">
        <v>1.1299999999999999</v>
      </c>
      <c r="AC253" s="4">
        <v>1.17</v>
      </c>
      <c r="AD253" s="4">
        <v>1.47</v>
      </c>
      <c r="AE253" s="4">
        <v>1.34</v>
      </c>
      <c r="AF253" s="4">
        <v>1.26</v>
      </c>
      <c r="AG253" s="4">
        <v>1.29</v>
      </c>
      <c r="AH253" s="4">
        <v>1.3</v>
      </c>
      <c r="AI253" s="4">
        <v>1.28</v>
      </c>
      <c r="AJ253" s="4">
        <v>1.38</v>
      </c>
      <c r="AK253" s="4">
        <v>1.59</v>
      </c>
      <c r="AL253" s="4">
        <v>1.7</v>
      </c>
      <c r="AM253" s="4">
        <v>1.71</v>
      </c>
      <c r="AN253" s="4">
        <v>1.7</v>
      </c>
      <c r="AO253" s="4">
        <v>1.52</v>
      </c>
      <c r="AP253" s="4">
        <v>1.51</v>
      </c>
      <c r="AQ253" s="4">
        <v>1.42</v>
      </c>
      <c r="AR253" s="4">
        <v>1.39</v>
      </c>
      <c r="AS253" s="4">
        <v>1.38</v>
      </c>
      <c r="AT253" s="4">
        <v>1.41</v>
      </c>
      <c r="AU253" s="4">
        <v>1.405</v>
      </c>
      <c r="AV253" s="4">
        <v>1.4</v>
      </c>
      <c r="AW253" s="4">
        <v>1.39</v>
      </c>
      <c r="AX253" s="4">
        <v>1.39</v>
      </c>
      <c r="AY253" s="12">
        <v>1.45</v>
      </c>
      <c r="AZ253" s="12">
        <v>1.33</v>
      </c>
      <c r="BA253" s="12">
        <v>1.23</v>
      </c>
      <c r="BB253" s="18">
        <v>1.19</v>
      </c>
      <c r="BC253" s="63">
        <v>0.95</v>
      </c>
      <c r="BD253" s="63">
        <v>1.3</v>
      </c>
      <c r="BE253" s="63">
        <v>1.47</v>
      </c>
      <c r="BF253" s="63">
        <v>1.1000000000000001</v>
      </c>
      <c r="BG253" s="91" cm="1">
        <f t="array" aca="1" ref="BG253" ca="1">_FV(EE253,"Preço")</f>
        <v>701</v>
      </c>
      <c r="BH253" s="93" t="s">
        <v>250</v>
      </c>
      <c r="BI253" s="32" cm="1">
        <f t="array" aca="1" ref="BI253" ca="1">_FV(EE253,"Beta")</f>
        <v>2.0350000000000001</v>
      </c>
      <c r="BJ253" s="96" cm="1">
        <f t="array" aca="1" ref="BJ253" ca="1">_FV(EE253,"Variação (%)",TRUE)</f>
        <v>67.257058999999998</v>
      </c>
      <c r="BK253" s="49"/>
      <c r="BL253" s="49"/>
      <c r="BN253" s="32"/>
      <c r="BO253" s="20" cm="1">
        <f t="array" aca="1" ref="BO253" ca="1">_FV(EE253,"Baixo")</f>
        <v>701</v>
      </c>
      <c r="BP253" s="20" cm="1">
        <f t="array" aca="1" ref="BP253" ca="1">_FV(EE253,"Alto")</f>
        <v>701</v>
      </c>
      <c r="BQ253" s="32"/>
      <c r="BR253" s="74">
        <f ca="1">SQRT(22.5*(BG253/VLOOKUP(BH253,Fundamentus!A:U,3,FALSE))*(BG253/VLOOKUP(BH253,Fundamentus!A:U,4,FALSE)))</f>
        <v>95988.378202780368</v>
      </c>
      <c r="BT253" s="73">
        <f t="shared" ca="1" si="235"/>
        <v>636.27272727272725</v>
      </c>
      <c r="BU253" s="36">
        <f t="shared" si="236"/>
        <v>7.2992700729926904E-2</v>
      </c>
      <c r="BV253" s="8"/>
      <c r="BW253" s="72">
        <f t="shared" si="237"/>
        <v>0.95</v>
      </c>
      <c r="BX253" s="72">
        <f t="shared" si="238"/>
        <v>1.261637931034483</v>
      </c>
      <c r="BY253" s="72">
        <f t="shared" si="239"/>
        <v>1.71</v>
      </c>
      <c r="BZ253" s="17"/>
      <c r="CA253" s="17"/>
      <c r="CB253" s="43">
        <f t="shared" si="240"/>
        <v>0.97228242645888419</v>
      </c>
      <c r="CC253" s="18">
        <f t="shared" si="241"/>
        <v>1.3663636363636442</v>
      </c>
      <c r="CD253" s="43">
        <f t="shared" si="242"/>
        <v>1.7604448462684044</v>
      </c>
      <c r="CE253" s="98">
        <f t="shared" ca="1" si="243"/>
        <v>1775.3539594864749</v>
      </c>
      <c r="CF253" s="17"/>
      <c r="CG253" s="20">
        <f t="shared" si="244"/>
        <v>3.6666666666666847E-2</v>
      </c>
      <c r="CH253" s="20">
        <f t="shared" si="245"/>
        <v>0.4933333333333334</v>
      </c>
      <c r="CI253" s="20">
        <f t="shared" si="246"/>
        <v>0.79666666666666686</v>
      </c>
      <c r="CJ253" s="49">
        <f t="shared" si="247"/>
        <v>1.2533333333333334</v>
      </c>
      <c r="CK253" s="20">
        <f t="shared" si="248"/>
        <v>1.5566666666666669</v>
      </c>
      <c r="CL253" s="20">
        <f t="shared" si="249"/>
        <v>2.0133333333333336</v>
      </c>
      <c r="CM253" s="20">
        <f t="shared" si="250"/>
        <v>2.3166666666666669</v>
      </c>
      <c r="CN253" s="2" cm="1">
        <f t="array" aca="1" ref="CN253" ca="1">MAX(_xlfn._xlws.FILTER(CG253:CM253,CG253:CM253&lt;BG253))</f>
        <v>2.3166666666666669</v>
      </c>
      <c r="CO253" s="2" t="e" cm="1" vm="3">
        <f t="array" aca="1" ref="CO253" ca="1">MIN(_xlfn._xlws.FILTER($CG253:$CM253,$CG253:$CM253&gt;BG253))</f>
        <v>#VALUE!</v>
      </c>
      <c r="CP253" s="19" t="e" vm="4">
        <f t="shared" ca="1" si="259"/>
        <v>#VALUE!</v>
      </c>
      <c r="CQ253" s="23" t="e" vm="4">
        <f t="shared" ca="1" si="260"/>
        <v>#VALUE!</v>
      </c>
      <c r="CR253" s="23" t="e" vm="4">
        <f t="shared" ca="1" si="261"/>
        <v>#VALUE!</v>
      </c>
      <c r="CS253" s="23" t="e" vm="4">
        <f t="shared" ca="1" si="262"/>
        <v>#VALUE!</v>
      </c>
      <c r="CT253" s="23" t="e" vm="4">
        <f t="shared" ca="1" si="263"/>
        <v>#VALUE!</v>
      </c>
      <c r="CU253" s="23" t="e" vm="4">
        <f t="shared" ca="1" si="264"/>
        <v>#VALUE!</v>
      </c>
      <c r="CV253" s="23" t="e" vm="4">
        <f t="shared" ca="1" si="265"/>
        <v>#VALUE!</v>
      </c>
      <c r="CW253" s="23" t="e" vm="4">
        <f t="shared" ca="1" si="266"/>
        <v>#VALUE!</v>
      </c>
      <c r="CX253" s="24" t="e" vm="4">
        <f t="shared" ca="1" si="267"/>
        <v>#VALUE!</v>
      </c>
      <c r="CY253" s="24" t="e" vm="4">
        <f t="shared" ca="1" si="268"/>
        <v>#VALUE!</v>
      </c>
      <c r="CZ253" s="24" t="e" vm="4">
        <f t="shared" ca="1" si="269"/>
        <v>#VALUE!</v>
      </c>
      <c r="DA253" s="24" t="e" vm="4">
        <f t="shared" ca="1" si="270"/>
        <v>#VALUE!</v>
      </c>
      <c r="DB253" s="24" t="e" vm="4">
        <f t="shared" ca="1" si="271"/>
        <v>#VALUE!</v>
      </c>
      <c r="DC253" s="24" t="e" vm="4">
        <f t="shared" ca="1" si="272"/>
        <v>#VALUE!</v>
      </c>
      <c r="DD253" s="24" t="e" vm="4">
        <f t="shared" ca="1" si="273"/>
        <v>#VALUE!</v>
      </c>
      <c r="DF253" s="19" t="e" cm="1" vm="4">
        <f t="array" aca="1" ref="DF253" ca="1">MAX(_xlfn._xlws.FILTER(CQ253:DD253,CQ253:DD253&lt;BJ253))</f>
        <v>#VALUE!</v>
      </c>
      <c r="DG253" s="19" t="e" cm="1" vm="4">
        <f t="array" aca="1" ref="DG253" ca="1">MIN(_xlfn._xlws.FILTER(CQ253:DD253,CQ253:DD253&gt;BJ253))</f>
        <v>#VALUE!</v>
      </c>
      <c r="DH253" s="2" cm="1">
        <f t="array" aca="1" ref="DH253" ca="1">_FV(EE253,"Fechamento anterior",TRUE)</f>
        <v>10.27</v>
      </c>
      <c r="DI253" s="36" t="e" vm="4">
        <f t="shared" ca="1" si="251"/>
        <v>#VALUE!</v>
      </c>
      <c r="DJ253" s="18" t="e" vm="4">
        <f t="shared" ca="1" si="274"/>
        <v>#VALUE!</v>
      </c>
      <c r="DK253" s="18" t="e" vm="4">
        <f t="shared" ca="1" si="275"/>
        <v>#VALUE!</v>
      </c>
      <c r="DL253" s="9"/>
      <c r="DM253" s="9"/>
      <c r="DN253" s="9"/>
      <c r="DO253" s="9"/>
      <c r="DP253" s="79">
        <v>1.9230965113318059E-2</v>
      </c>
      <c r="DQ253" s="79">
        <v>4.8800661703887527E-2</v>
      </c>
      <c r="DR253" s="79">
        <v>6.2571103526734867E-2</v>
      </c>
      <c r="DS253" s="79" t="e" vm="4">
        <f t="shared" ca="1" si="252"/>
        <v>#VALUE!</v>
      </c>
      <c r="DT253" s="47"/>
      <c r="DU253" s="43">
        <f t="shared" si="253"/>
        <v>0.19704060495238002</v>
      </c>
      <c r="DV253" s="83">
        <f t="shared" ca="1" si="254"/>
        <v>2.4611000000000001</v>
      </c>
      <c r="DW253" s="83">
        <f t="shared" ca="1" si="255"/>
        <v>-6723.6709000000001</v>
      </c>
      <c r="DX253" s="83">
        <f t="shared" ca="1" si="276"/>
        <v>6726.1320000000005</v>
      </c>
      <c r="DY253" s="67"/>
      <c r="DZ253" s="67"/>
      <c r="EA253" s="85"/>
      <c r="EB253" s="44">
        <v>24146200</v>
      </c>
      <c r="EC253" s="44" cm="1">
        <f t="array" aca="1" ref="EC253" ca="1">_FV(EE253,"Volume")</f>
        <v>9074</v>
      </c>
      <c r="EE253" s="2" t="e" vm="255">
        <v>#VALUE!</v>
      </c>
      <c r="EG253" s="10" cm="1">
        <f t="array" aca="1" ref="EG253" ca="1">_FV(EE253,"Ações em circulação",TRUE)</f>
        <v>9165945000000</v>
      </c>
      <c r="EH253" s="21">
        <f>VLOOKUP(BH253,Fundamentus!A:U,5,FALSE)</f>
        <v>2.7E-2</v>
      </c>
      <c r="EI253" s="2">
        <f t="shared" ca="1" si="256"/>
        <v>2.3797509055555555E+17</v>
      </c>
      <c r="EJ253" s="20">
        <v>-55185906966.666679</v>
      </c>
      <c r="EK253" s="20">
        <f t="shared" ca="1" si="257"/>
        <v>-1.00663463305E+17</v>
      </c>
      <c r="EM253" s="40" t="str">
        <f>IF(VLOOKUP(BH253,Fundamentus!A:U,3,FALSE)&lt;15,"Bom",IF(VLOOKUP(BH253,Fundamentus!A:U,3,FALSE)&gt;15,"Ruim","n/a"))</f>
        <v>Bom</v>
      </c>
      <c r="EN253" s="36" t="str">
        <f>IF(VLOOKUP(BH253,Fundamentus!A:U,4,FALSE)&lt;1,"Baixo",IF(VLOOKUP(BH253,Fundamentus!A:U,4,FALSE)&lt;1.5,"Moderado",IF(VLOOKUP(BH253,Fundamentus!A:U,4,FALSE)&gt;1.5,"Alto","n/a")))</f>
        <v>Baixo</v>
      </c>
      <c r="EO253" s="20" t="str">
        <f>IF(VLOOKUP(BH253,Fundamentus!A:U,8,FALSE)&lt;0,"Risco elevado",IF(VLOOKUP(BH253,Fundamentus!A:U,8,FALSE)&lt;1,"Saudável",IF(VLOOKUP(BH253,Fundamentus!A:U,8,FALSE)&lt;3,"Estável",IF(VLOOKUP(BH253,Fundamentus!A:U,8,FALSE)&gt;3,"Alerta","n/a"))))</f>
        <v>Risco elevado</v>
      </c>
      <c r="EP253" s="36" t="str">
        <f t="shared" si="258"/>
        <v>Ruim</v>
      </c>
      <c r="EQ253" s="20" t="str">
        <f>IF(VLOOKUP(BH253,Fundamentus!A:U,12,FALSE)&lt;2,"Subvalorizada",IF(VLOOKUP(BH253,Fundamentus!A:U,12,FALSE)&lt;6,"Muita barata",IF(VLOOKUP(BH253,Fundamentus!A:U,12,FALSE)&lt;6,"Barata",IF(VLOOKUP(BH253,Fundamentus!A:U,12,FALSE)&lt;8,"Atrativa",IF(VLOOKUP(BH253,Fundamentus!A:U,12,FALSE)&gt;8,"Supervalorizada","n/a")))))</f>
        <v>Supervalorizada</v>
      </c>
      <c r="ES253" s="20" t="str">
        <f>IF(VLOOKUP(BH253,Fundamentus!A:U,17,FALSE)&lt;0.1,"Fraco retorno",IF(VLOOKUP(BH253,Fundamentus!A:U,17,FALSE)&gt;0.1,"Bom retorno","n/a"))</f>
        <v>Bom retorno</v>
      </c>
      <c r="ET253" s="20" t="str">
        <f>IF(VLOOKUP(BH253,Fundamentus!A:U,16,FALSE)&lt;0.1,"Ineficiente",IF(VLOOKUP(BH253,Fundamentus!A:U,16,FALSE)&gt;0.1,"Eficiente","n/a"))</f>
        <v>Ineficiente</v>
      </c>
      <c r="EU253" s="41" t="str">
        <f>IF(VLOOKUP(BH253,Fundamentus!A:U,16,FALSE)&lt;0.1,"Oper. Ineficiente",IF(VLOOKUP(BH253,Fundamentus!A:U,16,FALSE)&gt;0.1,"Oper.Eficiente","n/a"))</f>
        <v>Oper. Ineficiente</v>
      </c>
      <c r="EV253" s="42">
        <f>VLOOKUP(BH253,Fundamentus!A:U,14,FALSE)</f>
        <v>-0.42299999999999999</v>
      </c>
      <c r="EW253" s="20" t="str">
        <f>IF(VLOOKUP(BH253,Fundamentus!A:U,21,FALSE)&lt;0,"Negativo",IF(VLOOKUP(BH253,Fundamentus!A:U,21,FALSE)&lt;0.05,"Fraco",IF(VLOOKUP(BH253,Fundamentus!A:U,21,FALSE)&lt;0.1,"Bom",IF(VLOOKUP(BH253,Fundamentus!A:U,21,FALSE)&gt;0.1,"Muito bom","n/a"))))</f>
        <v>Muito bom</v>
      </c>
      <c r="EY253" s="37" t="str">
        <f>IF(VLOOKUP(BH253,Fundamentus!A:U,15,FALSE)&gt;1,"Bom",IF(VLOOKUP(BH253,Fundamentus!A:U,15,FALSE)&lt;1,"Ruim","n/a"))</f>
        <v>Ruim</v>
      </c>
      <c r="EZ253" s="20" t="str">
        <f>IF(VLOOKUP(BH253,Fundamentus!A:U,20,FALSE)&lt;0.5,"Baixa",IF(VLOOKUP(BH253,Fundamentus!A:U,20,FALSE)&lt;1,"Moderada",IF(VLOOKUP(BH253,Fundamentus!A:U,20,FALSE)&lt;2,"Alerta",IF(VLOOKUP(BH253,Fundamentus!A:U,20,FALSE)&gt;2,"Alta","n/a"))))</f>
        <v>Baixa</v>
      </c>
    </row>
    <row r="254" spans="1:156" s="2" customFormat="1" ht="11.25" hidden="1" x14ac:dyDescent="0.2">
      <c r="A254" s="4">
        <v>5.93</v>
      </c>
      <c r="B254" s="4">
        <v>5.5</v>
      </c>
      <c r="C254" s="4">
        <v>4.8</v>
      </c>
      <c r="D254" s="4">
        <v>4.78</v>
      </c>
      <c r="E254" s="4">
        <v>4.9400000000000004</v>
      </c>
      <c r="F254" s="4">
        <v>4.7699999999999996</v>
      </c>
      <c r="G254" s="4">
        <v>5.26</v>
      </c>
      <c r="H254" s="4">
        <v>5.0999999999999996</v>
      </c>
      <c r="I254" s="4">
        <v>4.8899999999999997</v>
      </c>
      <c r="J254" s="4">
        <v>5.6</v>
      </c>
      <c r="K254" s="4">
        <v>5.54</v>
      </c>
      <c r="L254" s="4">
        <v>5.16</v>
      </c>
      <c r="M254" s="4">
        <v>5.31</v>
      </c>
      <c r="N254" s="4">
        <v>5.27</v>
      </c>
      <c r="O254" s="4">
        <v>5.18</v>
      </c>
      <c r="P254" s="4">
        <v>5.74</v>
      </c>
      <c r="Q254" s="4">
        <v>6.25</v>
      </c>
      <c r="R254" s="4">
        <v>6.45</v>
      </c>
      <c r="S254" s="4">
        <v>6.21</v>
      </c>
      <c r="T254" s="4">
        <v>6.89</v>
      </c>
      <c r="U254" s="4">
        <v>6.26</v>
      </c>
      <c r="V254" s="4">
        <v>6.06</v>
      </c>
      <c r="W254" s="4">
        <v>6.15</v>
      </c>
      <c r="X254" s="4">
        <v>5.78</v>
      </c>
      <c r="Y254" s="4">
        <v>5.66</v>
      </c>
      <c r="Z254" s="4">
        <v>5.93</v>
      </c>
      <c r="AA254" s="4">
        <v>6.87</v>
      </c>
      <c r="AB254" s="4">
        <v>7.13</v>
      </c>
      <c r="AC254" s="4">
        <v>6.6</v>
      </c>
      <c r="AD254" s="4">
        <v>6.9</v>
      </c>
      <c r="AE254" s="4">
        <v>6.15</v>
      </c>
      <c r="AF254" s="4">
        <v>5.77</v>
      </c>
      <c r="AG254" s="4">
        <v>5.15</v>
      </c>
      <c r="AH254" s="4">
        <v>4.5599999999999996</v>
      </c>
      <c r="AI254" s="4">
        <v>4.4800000000000004</v>
      </c>
      <c r="AJ254" s="4">
        <v>4.2699999999999996</v>
      </c>
      <c r="AK254" s="4">
        <v>4.24</v>
      </c>
      <c r="AL254" s="4">
        <v>4.45</v>
      </c>
      <c r="AM254" s="4">
        <v>4.62</v>
      </c>
      <c r="AN254" s="4">
        <v>5.32</v>
      </c>
      <c r="AO254" s="4">
        <v>5.09</v>
      </c>
      <c r="AP254" s="4">
        <v>5.26</v>
      </c>
      <c r="AQ254" s="4">
        <v>4.9000000000000004</v>
      </c>
      <c r="AR254" s="4">
        <v>4.21</v>
      </c>
      <c r="AS254" s="4">
        <v>4.26</v>
      </c>
      <c r="AT254" s="4">
        <v>4.4000000000000004</v>
      </c>
      <c r="AU254" s="4">
        <v>4.7699999999999996</v>
      </c>
      <c r="AV254" s="4">
        <v>4.88</v>
      </c>
      <c r="AW254" s="4">
        <v>5.05</v>
      </c>
      <c r="AX254" s="4">
        <v>5.27</v>
      </c>
      <c r="AY254" s="12">
        <v>5.5</v>
      </c>
      <c r="AZ254" s="12">
        <v>5.93</v>
      </c>
      <c r="BA254" s="12">
        <v>5.99</v>
      </c>
      <c r="BB254" s="18">
        <v>6.69</v>
      </c>
      <c r="BC254" s="63">
        <v>8.5</v>
      </c>
      <c r="BD254" s="63">
        <v>10</v>
      </c>
      <c r="BE254" s="63">
        <v>10.119999999999999</v>
      </c>
      <c r="BF254" s="63">
        <v>9.58</v>
      </c>
      <c r="BG254" s="91" cm="1">
        <f t="array" aca="1" ref="BG254" ca="1">_FV(EE254,"Preço")</f>
        <v>10.38</v>
      </c>
      <c r="BH254" s="93" t="s">
        <v>198</v>
      </c>
      <c r="BI254" s="32" cm="1">
        <f t="array" aca="1" ref="BI254" ca="1">_FV(EE254,"Beta")</f>
        <v>1.7599</v>
      </c>
      <c r="BJ254" s="96" cm="1">
        <f t="array" aca="1" ref="BJ254" ca="1">_FV(EE254,"Variação (%)",TRUE)</f>
        <v>-1.5180000000000001E-2</v>
      </c>
      <c r="BK254" s="49"/>
      <c r="BL254" s="49"/>
      <c r="BN254" s="32"/>
      <c r="BO254" s="20" cm="1">
        <f t="array" aca="1" ref="BO254" ca="1">_FV(EE254,"Baixo")</f>
        <v>10.24</v>
      </c>
      <c r="BP254" s="20" cm="1">
        <f t="array" aca="1" ref="BP254" ca="1">_FV(EE254,"Alto")</f>
        <v>10.59</v>
      </c>
      <c r="BQ254" s="32"/>
      <c r="BR254" s="74">
        <f ca="1">SQRT(22.5*(BG254/VLOOKUP(BH254,Fundamentus!A:U,3,FALSE))*(BG254/VLOOKUP(BH254,Fundamentus!A:U,4,FALSE)))</f>
        <v>10.683370483198971</v>
      </c>
      <c r="BT254" s="73">
        <f t="shared" ca="1" si="235"/>
        <v>8.3507306889352886E-2</v>
      </c>
      <c r="BU254" s="36">
        <f t="shared" si="236"/>
        <v>0.70657672849915676</v>
      </c>
      <c r="BV254" s="8"/>
      <c r="BW254" s="72">
        <f t="shared" si="237"/>
        <v>4.21</v>
      </c>
      <c r="BX254" s="72">
        <f t="shared" si="238"/>
        <v>5.7296551724137936</v>
      </c>
      <c r="BY254" s="72">
        <f t="shared" si="239"/>
        <v>10.119999999999999</v>
      </c>
      <c r="BZ254" s="17"/>
      <c r="CA254" s="17"/>
      <c r="CB254" s="43">
        <f t="shared" si="240"/>
        <v>9.1253714510072275</v>
      </c>
      <c r="CC254" s="18">
        <f t="shared" si="241"/>
        <v>10.402399250234794</v>
      </c>
      <c r="CD254" s="43">
        <f t="shared" si="242"/>
        <v>11.67942704946236</v>
      </c>
      <c r="CE254" s="98">
        <f t="shared" ca="1" si="243"/>
        <v>-1.7540143016731149E-2</v>
      </c>
      <c r="CF254" s="17"/>
      <c r="CG254" s="20">
        <f t="shared" si="244"/>
        <v>-9.0000000000000746E-2</v>
      </c>
      <c r="CH254" s="20">
        <f t="shared" si="245"/>
        <v>2.0599999999999996</v>
      </c>
      <c r="CI254" s="20">
        <f t="shared" si="246"/>
        <v>5.8199999999999985</v>
      </c>
      <c r="CJ254" s="49">
        <f t="shared" si="247"/>
        <v>7.9699999999999989</v>
      </c>
      <c r="CK254" s="20">
        <f t="shared" si="248"/>
        <v>11.729999999999997</v>
      </c>
      <c r="CL254" s="20">
        <f t="shared" si="249"/>
        <v>13.879999999999999</v>
      </c>
      <c r="CM254" s="20">
        <f t="shared" si="250"/>
        <v>17.639999999999997</v>
      </c>
      <c r="CN254" s="2" cm="1">
        <f t="array" aca="1" ref="CN254" ca="1">MAX(_xlfn._xlws.FILTER(CG254:CM254,CG254:CM254&lt;BG254))</f>
        <v>7.9699999999999989</v>
      </c>
      <c r="CO254" s="2" cm="1">
        <f t="array" aca="1" ref="CO254" ca="1">MIN(_xlfn._xlws.FILTER($CG254:$CM254,$CG254:$CM254&gt;BG254))</f>
        <v>11.729999999999997</v>
      </c>
      <c r="CP254" s="19">
        <f t="shared" ca="1" si="259"/>
        <v>0.47176913425345024</v>
      </c>
      <c r="CQ254" s="23">
        <f t="shared" ca="1" si="260"/>
        <v>-0.23588456712672512</v>
      </c>
      <c r="CR254" s="23">
        <f t="shared" ca="1" si="261"/>
        <v>-0.15725637808448342</v>
      </c>
      <c r="CS254" s="23">
        <f t="shared" ca="1" si="262"/>
        <v>-9.4353826850690048E-2</v>
      </c>
      <c r="CT254" s="23">
        <f t="shared" ca="1" si="263"/>
        <v>-5.2418792694827805E-2</v>
      </c>
      <c r="CU254" s="23">
        <f t="shared" ca="1" si="264"/>
        <v>-2.7751125544320604E-2</v>
      </c>
      <c r="CV254" s="23">
        <f t="shared" ca="1" si="265"/>
        <v>-1.4296034371316674E-2</v>
      </c>
      <c r="CW254" s="23">
        <f t="shared" ca="1" si="266"/>
        <v>-7.257986680822311E-3</v>
      </c>
      <c r="CX254" s="24">
        <f t="shared" ca="1" si="267"/>
        <v>7.257986680822311E-3</v>
      </c>
      <c r="CY254" s="24">
        <f t="shared" ca="1" si="268"/>
        <v>1.4296034371316674E-2</v>
      </c>
      <c r="CZ254" s="24">
        <f t="shared" ca="1" si="269"/>
        <v>2.7751125544320604E-2</v>
      </c>
      <c r="DA254" s="24">
        <f t="shared" ca="1" si="270"/>
        <v>5.2418792694827805E-2</v>
      </c>
      <c r="DB254" s="24">
        <f t="shared" ca="1" si="271"/>
        <v>9.4353826850690048E-2</v>
      </c>
      <c r="DC254" s="24">
        <f t="shared" ca="1" si="272"/>
        <v>0.15725637808448342</v>
      </c>
      <c r="DD254" s="24">
        <f t="shared" ca="1" si="273"/>
        <v>0.23588456712672512</v>
      </c>
      <c r="DF254" s="19" cm="1">
        <f t="array" aca="1" ref="DF254" ca="1">MAX(_xlfn._xlws.FILTER(CQ254:DD254,CQ254:DD254&lt;BJ254))</f>
        <v>-2.7751125544320604E-2</v>
      </c>
      <c r="DG254" s="19" cm="1">
        <f t="array" aca="1" ref="DG254" ca="1">MIN(_xlfn._xlws.FILTER(CQ254:DD254,CQ254:DD254&gt;BJ254))</f>
        <v>-1.4296034371316674E-2</v>
      </c>
      <c r="DH254" s="2" cm="1">
        <f t="array" aca="1" ref="DH254" ca="1">_FV(EE254,"Fechamento anterior",TRUE)</f>
        <v>10.54</v>
      </c>
      <c r="DI254" s="36">
        <f t="shared" ca="1" si="251"/>
        <v>0.93428277282087835</v>
      </c>
      <c r="DJ254" s="18">
        <f t="shared" ca="1" si="274"/>
        <v>10.247503136762861</v>
      </c>
      <c r="DK254" s="18">
        <f t="shared" ca="1" si="275"/>
        <v>10.389319797726321</v>
      </c>
      <c r="DL254" s="9"/>
      <c r="DM254" s="9"/>
      <c r="DN254" s="9"/>
      <c r="DO254" s="9"/>
      <c r="DP254" s="79" t="e" vm="4">
        <v>#VALUE!</v>
      </c>
      <c r="DQ254" s="79">
        <v>5.4025095258512226E-3</v>
      </c>
      <c r="DR254" s="79">
        <v>1.893526623031188E-2</v>
      </c>
      <c r="DS254" s="79">
        <f t="shared" ca="1" si="252"/>
        <v>1.345509117300393E-2</v>
      </c>
      <c r="DT254" s="47"/>
      <c r="DU254" s="43">
        <f t="shared" si="253"/>
        <v>0.6385138996137828</v>
      </c>
      <c r="DV254" s="83">
        <f t="shared" ca="1" si="254"/>
        <v>2.1859999999999999</v>
      </c>
      <c r="DW254" s="83">
        <f t="shared" ca="1" si="255"/>
        <v>3.2778999999999998</v>
      </c>
      <c r="DX254" s="83">
        <f t="shared" ca="1" si="276"/>
        <v>-1.0918999999999999</v>
      </c>
      <c r="DY254" s="67"/>
      <c r="DZ254" s="67"/>
      <c r="EA254" s="85"/>
      <c r="EB254" s="44">
        <v>608100</v>
      </c>
      <c r="EC254" s="44" cm="1">
        <f t="array" aca="1" ref="EC254" ca="1">_FV(EE254,"Volume")</f>
        <v>402300</v>
      </c>
      <c r="EE254" s="2" t="e" vm="256">
        <v>#VALUE!</v>
      </c>
      <c r="EG254" s="10" cm="1">
        <f t="array" aca="1" ref="EG254" ca="1">_FV(EE254,"Ações em circulação",TRUE)</f>
        <v>128721600</v>
      </c>
      <c r="EH254" s="21">
        <f>VLOOKUP(BH254,Fundamentus!A:U,5,FALSE)</f>
        <v>0.60899999999999999</v>
      </c>
      <c r="EI254" s="2">
        <f t="shared" ca="1" si="256"/>
        <v>2193974068.9655175</v>
      </c>
      <c r="EJ254" s="20">
        <v>58721568.000000007</v>
      </c>
      <c r="EK254" s="20">
        <f t="shared" ca="1" si="257"/>
        <v>63625248.000000015</v>
      </c>
      <c r="EM254" s="40" t="str">
        <f>IF(VLOOKUP(BH254,Fundamentus!A:U,3,FALSE)&lt;15,"Bom",IF(VLOOKUP(BH254,Fundamentus!A:U,3,FALSE)&gt;15,"Ruim","n/a"))</f>
        <v>Ruim</v>
      </c>
      <c r="EN254" s="36" t="str">
        <f>IF(VLOOKUP(BH254,Fundamentus!A:U,4,FALSE)&lt;1,"Baixo",IF(VLOOKUP(BH254,Fundamentus!A:U,4,FALSE)&lt;1.5,"Moderado",IF(VLOOKUP(BH254,Fundamentus!A:U,4,FALSE)&gt;1.5,"Alto","n/a")))</f>
        <v>Moderado</v>
      </c>
      <c r="EO254" s="20" t="str">
        <f>IF(VLOOKUP(BH254,Fundamentus!A:U,8,FALSE)&lt;0,"Risco elevado",IF(VLOOKUP(BH254,Fundamentus!A:U,8,FALSE)&lt;1,"Saudável",IF(VLOOKUP(BH254,Fundamentus!A:U,8,FALSE)&lt;3,"Estável",IF(VLOOKUP(BH254,Fundamentus!A:U,8,FALSE)&gt;3,"Alerta","n/a"))))</f>
        <v>Alerta</v>
      </c>
      <c r="EP254" s="36" t="str">
        <f t="shared" si="258"/>
        <v>Ruim</v>
      </c>
      <c r="EQ254" s="20" t="str">
        <f>IF(VLOOKUP(BH254,Fundamentus!A:U,12,FALSE)&lt;2,"Subvalorizada",IF(VLOOKUP(BH254,Fundamentus!A:U,12,FALSE)&lt;6,"Muita barata",IF(VLOOKUP(BH254,Fundamentus!A:U,12,FALSE)&lt;6,"Barata",IF(VLOOKUP(BH254,Fundamentus!A:U,12,FALSE)&lt;8,"Atrativa",IF(VLOOKUP(BH254,Fundamentus!A:U,12,FALSE)&gt;8,"Supervalorizada","n/a")))))</f>
        <v>Muita barata</v>
      </c>
      <c r="ES254" s="20" t="str">
        <f>IF(VLOOKUP(BH254,Fundamentus!A:U,17,FALSE)&lt;0.1,"Fraco retorno",IF(VLOOKUP(BH254,Fundamentus!A:U,17,FALSE)&gt;0.1,"Bom retorno","n/a"))</f>
        <v>Fraco retorno</v>
      </c>
      <c r="ET254" s="20" t="str">
        <f>IF(VLOOKUP(BH254,Fundamentus!A:U,16,FALSE)&lt;0.1,"Ineficiente",IF(VLOOKUP(BH254,Fundamentus!A:U,16,FALSE)&gt;0.1,"Eficiente","n/a"))</f>
        <v>Eficiente</v>
      </c>
      <c r="EU254" s="41" t="str">
        <f>IF(VLOOKUP(BH254,Fundamentus!A:U,16,FALSE)&lt;0.1,"Oper. Ineficiente",IF(VLOOKUP(BH254,Fundamentus!A:U,16,FALSE)&gt;0.1,"Oper.Eficiente","n/a"))</f>
        <v>Oper.Eficiente</v>
      </c>
      <c r="EV254" s="42">
        <f>VLOOKUP(BH254,Fundamentus!A:U,14,FALSE)</f>
        <v>2.9000000000000001E-2</v>
      </c>
      <c r="EW254" s="20" t="str">
        <f>IF(VLOOKUP(BH254,Fundamentus!A:U,21,FALSE)&lt;0,"Negativo",IF(VLOOKUP(BH254,Fundamentus!A:U,21,FALSE)&lt;0.05,"Fraco",IF(VLOOKUP(BH254,Fundamentus!A:U,21,FALSE)&lt;0.1,"Bom",IF(VLOOKUP(BH254,Fundamentus!A:U,21,FALSE)&gt;0.1,"Muito bom","n/a"))))</f>
        <v>Muito bom</v>
      </c>
      <c r="EY254" s="37" t="str">
        <f>IF(VLOOKUP(BH254,Fundamentus!A:U,15,FALSE)&gt;1,"Bom",IF(VLOOKUP(BH254,Fundamentus!A:U,15,FALSE)&lt;1,"Ruim","n/a"))</f>
        <v>Bom</v>
      </c>
      <c r="EZ254" s="20" t="str">
        <f>IF(VLOOKUP(BH254,Fundamentus!A:U,20,FALSE)&lt;0.5,"Baixa",IF(VLOOKUP(BH254,Fundamentus!A:U,20,FALSE)&lt;1,"Moderada",IF(VLOOKUP(BH254,Fundamentus!A:U,20,FALSE)&lt;2,"Alerta",IF(VLOOKUP(BH254,Fundamentus!A:U,20,FALSE)&gt;2,"Alta","n/a"))))</f>
        <v>Moderada</v>
      </c>
    </row>
    <row r="255" spans="1:156" s="2" customFormat="1" ht="11.25" hidden="1" x14ac:dyDescent="0.2">
      <c r="A255" s="4">
        <v>8.23</v>
      </c>
      <c r="B255" s="4">
        <v>8.07</v>
      </c>
      <c r="C255" s="4">
        <v>8</v>
      </c>
      <c r="D255" s="4">
        <v>8.26</v>
      </c>
      <c r="E255" s="4">
        <v>7.95</v>
      </c>
      <c r="F255" s="4">
        <v>7.78</v>
      </c>
      <c r="G255" s="4">
        <v>7.67</v>
      </c>
      <c r="H255" s="4">
        <v>7.82</v>
      </c>
      <c r="I255" s="4">
        <v>8.07</v>
      </c>
      <c r="J255" s="4">
        <v>8.6199999999999992</v>
      </c>
      <c r="K255" s="4">
        <v>8.9</v>
      </c>
      <c r="L255" s="4">
        <v>8.6199999999999992</v>
      </c>
      <c r="M255" s="4">
        <v>8.2200000000000006</v>
      </c>
      <c r="N255" s="4">
        <v>7.99</v>
      </c>
      <c r="O255" s="4">
        <v>8.01</v>
      </c>
      <c r="P255" s="4">
        <v>8.25</v>
      </c>
      <c r="Q255" s="4">
        <v>8.35</v>
      </c>
      <c r="R255" s="4">
        <v>8.15</v>
      </c>
      <c r="S255" s="4">
        <v>7.82</v>
      </c>
      <c r="T255" s="4">
        <v>7.96</v>
      </c>
      <c r="U255" s="4">
        <v>7.72</v>
      </c>
      <c r="V255" s="4">
        <v>7.68</v>
      </c>
      <c r="W255" s="4">
        <v>7.88</v>
      </c>
      <c r="X255" s="4">
        <v>7.66</v>
      </c>
      <c r="Y255" s="4">
        <v>7.53</v>
      </c>
      <c r="Z255" s="4">
        <v>7.46</v>
      </c>
      <c r="AA255" s="4">
        <v>7.35</v>
      </c>
      <c r="AB255" s="4">
        <v>7.7</v>
      </c>
      <c r="AC255" s="4">
        <v>7.57</v>
      </c>
      <c r="AD255" s="4">
        <v>7.93</v>
      </c>
      <c r="AE255" s="4">
        <v>7.8</v>
      </c>
      <c r="AF255" s="4">
        <v>7.58</v>
      </c>
      <c r="AG255" s="4">
        <v>8.1</v>
      </c>
      <c r="AH255" s="4">
        <v>8.0500000000000007</v>
      </c>
      <c r="AI255" s="4">
        <v>8.08</v>
      </c>
      <c r="AJ255" s="4">
        <v>7.58</v>
      </c>
      <c r="AK255" s="4">
        <v>7.53</v>
      </c>
      <c r="AL255" s="4">
        <v>7.68</v>
      </c>
      <c r="AM255" s="4">
        <v>7.75</v>
      </c>
      <c r="AN255" s="4">
        <v>7.79</v>
      </c>
      <c r="AO255" s="4">
        <v>7.61</v>
      </c>
      <c r="AP255" s="4">
        <v>7.85</v>
      </c>
      <c r="AQ255" s="4">
        <v>7.74</v>
      </c>
      <c r="AR255" s="4">
        <v>7.46</v>
      </c>
      <c r="AS255" s="4">
        <v>7.71</v>
      </c>
      <c r="AT255" s="4">
        <v>7.8</v>
      </c>
      <c r="AU255" s="4">
        <v>7.7</v>
      </c>
      <c r="AV255" s="4">
        <v>7.36</v>
      </c>
      <c r="AW255" s="4">
        <v>7.02</v>
      </c>
      <c r="AX255" s="4">
        <v>7.09</v>
      </c>
      <c r="AY255" s="12">
        <v>7.21</v>
      </c>
      <c r="AZ255" s="12">
        <v>7.26</v>
      </c>
      <c r="BA255" s="12">
        <v>7.25</v>
      </c>
      <c r="BB255" s="18">
        <v>7.15</v>
      </c>
      <c r="BC255" s="63">
        <v>7.08</v>
      </c>
      <c r="BD255" s="63">
        <v>6.92</v>
      </c>
      <c r="BE255" s="63">
        <v>7.02</v>
      </c>
      <c r="BF255" s="63">
        <v>7.06</v>
      </c>
      <c r="BG255" s="91" cm="1">
        <f t="array" aca="1" ref="BG255" ca="1">_FV(EE255,"Preço")</f>
        <v>7.02</v>
      </c>
      <c r="BH255" s="93" t="s">
        <v>252</v>
      </c>
      <c r="BI255" s="32" cm="1">
        <f t="array" aca="1" ref="BI255" ca="1">_FV(EE255,"Beta")</f>
        <v>0.2989</v>
      </c>
      <c r="BJ255" s="96" cm="1">
        <f t="array" aca="1" ref="BJ255" ca="1">_FV(EE255,"Variação (%)",TRUE)</f>
        <v>0</v>
      </c>
      <c r="BK255" s="49"/>
      <c r="BL255" s="49"/>
      <c r="BN255" s="32"/>
      <c r="BO255" s="20" cm="1">
        <f t="array" aca="1" ref="BO255" ca="1">_FV(EE255,"Baixo")</f>
        <v>6.98</v>
      </c>
      <c r="BP255" s="20" cm="1">
        <f t="array" aca="1" ref="BP255" ca="1">_FV(EE255,"Alto")</f>
        <v>7.1</v>
      </c>
      <c r="BQ255" s="32"/>
      <c r="BR255" s="74">
        <f ca="1">SQRT(22.5*(BG255/VLOOKUP(BH255,Fundamentus!A:U,3,FALSE))*(BG255/VLOOKUP(BH255,Fundamentus!A:U,4,FALSE)))</f>
        <v>13.66864068669641</v>
      </c>
      <c r="BT255" s="73">
        <f t="shared" ca="1" si="235"/>
        <v>-5.6657223796034049E-3</v>
      </c>
      <c r="BU255" s="36">
        <f t="shared" si="236"/>
        <v>-0.14702308626974492</v>
      </c>
      <c r="BV255" s="8"/>
      <c r="BW255" s="72">
        <f t="shared" si="237"/>
        <v>6.92</v>
      </c>
      <c r="BX255" s="72">
        <f t="shared" si="238"/>
        <v>7.7491379310344817</v>
      </c>
      <c r="BY255" s="72">
        <f t="shared" si="239"/>
        <v>8.9</v>
      </c>
      <c r="BZ255" s="17"/>
      <c r="CA255" s="17"/>
      <c r="CB255" s="43">
        <f t="shared" si="240"/>
        <v>6.9020350563979767</v>
      </c>
      <c r="CC255" s="18">
        <f t="shared" si="241"/>
        <v>7.0253233364573564</v>
      </c>
      <c r="CD255" s="43">
        <f t="shared" si="242"/>
        <v>7.1486116165167362</v>
      </c>
      <c r="CE255" s="98">
        <f t="shared" ca="1" si="243"/>
        <v>-4.317796026348112E-2</v>
      </c>
      <c r="CF255" s="17"/>
      <c r="CG255" s="20">
        <f t="shared" si="244"/>
        <v>4.3733333333333313</v>
      </c>
      <c r="CH255" s="20">
        <f t="shared" si="245"/>
        <v>5.6466666666666656</v>
      </c>
      <c r="CI255" s="20">
        <f t="shared" si="246"/>
        <v>6.3533333333333317</v>
      </c>
      <c r="CJ255" s="49">
        <f t="shared" si="247"/>
        <v>7.626666666666666</v>
      </c>
      <c r="CK255" s="20">
        <f t="shared" si="248"/>
        <v>8.3333333333333321</v>
      </c>
      <c r="CL255" s="20">
        <f t="shared" si="249"/>
        <v>9.6066666666666656</v>
      </c>
      <c r="CM255" s="20">
        <f t="shared" si="250"/>
        <v>10.313333333333333</v>
      </c>
      <c r="CN255" s="2" cm="1">
        <f t="array" aca="1" ref="CN255" ca="1">MAX(_xlfn._xlws.FILTER(CG255:CM255,CG255:CM255&lt;BG255))</f>
        <v>6.3533333333333317</v>
      </c>
      <c r="CO255" s="2" cm="1">
        <f t="array" aca="1" ref="CO255" ca="1">MIN(_xlfn._xlws.FILTER($CG255:$CM255,$CG255:$CM255&gt;BG255))</f>
        <v>7.626666666666666</v>
      </c>
      <c r="CP255" s="19">
        <f t="shared" ref="CP255:CP260" ca="1" si="277">(CO255/CN255)-1</f>
        <v>0.20041972717733492</v>
      </c>
      <c r="CQ255" s="23">
        <f t="shared" ref="CQ255:CQ260" ca="1" si="278">-$CP255/2</f>
        <v>-0.10020986358866746</v>
      </c>
      <c r="CR255" s="23">
        <f t="shared" ref="CR255:CR260" ca="1" si="279">-$CP255/3</f>
        <v>-6.6806575725778305E-2</v>
      </c>
      <c r="CS255" s="23">
        <f t="shared" ref="CS255:CS260" ca="1" si="280">-$CP255/5</f>
        <v>-4.0083945435466985E-2</v>
      </c>
      <c r="CT255" s="23">
        <f t="shared" ref="CT255:CT260" ca="1" si="281">-$CP255/9</f>
        <v>-2.2268858575259436E-2</v>
      </c>
      <c r="CU255" s="23">
        <f t="shared" ref="CU255:CU262" ca="1" si="282">-$CP255/17</f>
        <v>-1.1789395716313818E-2</v>
      </c>
      <c r="CV255" s="23">
        <f t="shared" ref="CV255:CV262" ca="1" si="283">-$CP255/33</f>
        <v>-6.0733250659798458E-3</v>
      </c>
      <c r="CW255" s="23">
        <f t="shared" ref="CW255:CW262" ca="1" si="284">-$CP255/65</f>
        <v>-3.0833804181128448E-3</v>
      </c>
      <c r="CX255" s="24">
        <f t="shared" ref="CX255:CX262" ca="1" si="285">-$CP255/65*-1</f>
        <v>3.0833804181128448E-3</v>
      </c>
      <c r="CY255" s="24">
        <f t="shared" ref="CY255:CY262" ca="1" si="286">-$CP255/33*-1</f>
        <v>6.0733250659798458E-3</v>
      </c>
      <c r="CZ255" s="24">
        <f t="shared" ref="CZ255:CZ262" ca="1" si="287">-$CP255/17*-1</f>
        <v>1.1789395716313818E-2</v>
      </c>
      <c r="DA255" s="24">
        <f t="shared" ref="DA255:DA260" ca="1" si="288">-$CP255/9*-1</f>
        <v>2.2268858575259436E-2</v>
      </c>
      <c r="DB255" s="24">
        <f t="shared" ref="DB255:DB260" ca="1" si="289">-$CP255/5*-1</f>
        <v>4.0083945435466985E-2</v>
      </c>
      <c r="DC255" s="24">
        <f t="shared" ref="DC255:DC260" ca="1" si="290">-$CP255/3*-1</f>
        <v>6.6806575725778305E-2</v>
      </c>
      <c r="DD255" s="24">
        <f t="shared" ref="DD255:DD260" ca="1" si="291">-$CP255/2*-1</f>
        <v>0.10020986358866746</v>
      </c>
      <c r="DF255" s="19" cm="1">
        <f t="array" aca="1" ref="DF255" ca="1">MAX(_xlfn._xlws.FILTER(CQ255:DD255,CQ255:DD255&lt;BJ255))</f>
        <v>-3.0833804181128448E-3</v>
      </c>
      <c r="DG255" s="19" cm="1">
        <f t="array" aca="1" ref="DG255" ca="1">MIN(_xlfn._xlws.FILTER(CQ255:DD255,CQ255:DD255&gt;BJ255))</f>
        <v>3.0833804181128448E-3</v>
      </c>
      <c r="DH255" s="2" cm="1">
        <f t="array" aca="1" ref="DH255" ca="1">_FV(EE255,"Fechamento anterior",TRUE)</f>
        <v>7.02</v>
      </c>
      <c r="DI255" s="36">
        <f t="shared" ca="1" si="251"/>
        <v>0.5</v>
      </c>
      <c r="DJ255" s="18">
        <f t="shared" ref="DJ255:DJ259" ca="1" si="292">DH255+(DH255*DF255)</f>
        <v>6.9983546694648471</v>
      </c>
      <c r="DK255" s="18">
        <f t="shared" ref="DK255:DK259" ca="1" si="293">DH255+(DH255*DG255)</f>
        <v>7.0416453305351521</v>
      </c>
      <c r="DL255" s="9"/>
      <c r="DM255" s="9"/>
      <c r="DN255" s="9"/>
      <c r="DO255" s="9"/>
      <c r="DP255" s="79">
        <v>2.4904323121503012E-3</v>
      </c>
      <c r="DQ255" s="79">
        <v>5.1812502522217696E-3</v>
      </c>
      <c r="DR255" s="79">
        <v>2.7101924396236948E-3</v>
      </c>
      <c r="DS255" s="79">
        <f t="shared" ca="1" si="252"/>
        <v>6.1667608362256897E-3</v>
      </c>
      <c r="DT255" s="47"/>
      <c r="DU255" s="43">
        <f t="shared" si="253"/>
        <v>6.1644140029689744E-2</v>
      </c>
      <c r="DV255" s="83">
        <f t="shared" ca="1" si="254"/>
        <v>0.72499999999999998</v>
      </c>
      <c r="DW255" s="83">
        <f t="shared" ca="1" si="255"/>
        <v>0.2989</v>
      </c>
      <c r="DX255" s="83">
        <f t="shared" ca="1" si="276"/>
        <v>0.42609999999999998</v>
      </c>
      <c r="DY255" s="67"/>
      <c r="DZ255" s="67"/>
      <c r="EA255" s="85"/>
      <c r="EB255" s="44">
        <v>500500</v>
      </c>
      <c r="EC255" s="44" cm="1">
        <f t="array" aca="1" ref="EC255" ca="1">_FV(EE255,"Volume")</f>
        <v>295100</v>
      </c>
      <c r="EE255" s="2" t="e" vm="257">
        <v>#VALUE!</v>
      </c>
      <c r="EG255" s="10" cm="1">
        <f t="array" aca="1" ref="EG255" ca="1">_FV(EE255,"Ações em circulação",TRUE)</f>
        <v>353175000</v>
      </c>
      <c r="EH255" s="21">
        <f>VLOOKUP(BH255,Fundamentus!A:U,5,FALSE)</f>
        <v>1.093</v>
      </c>
      <c r="EI255" s="2">
        <f t="shared" ca="1" si="256"/>
        <v>2268333485.8188472</v>
      </c>
      <c r="EJ255" s="20">
        <v>311391780.19213176</v>
      </c>
      <c r="EK255" s="20">
        <f t="shared" ca="1" si="257"/>
        <v>309627520.81427264</v>
      </c>
      <c r="EM255" s="40" t="str">
        <f>IF(VLOOKUP(BH255,Fundamentus!A:U,3,FALSE)&lt;15,"Bom",IF(VLOOKUP(BH255,Fundamentus!A:U,3,FALSE)&gt;15,"Ruim","n/a"))</f>
        <v>Bom</v>
      </c>
      <c r="EN255" s="36" t="str">
        <f>IF(VLOOKUP(BH255,Fundamentus!A:U,4,FALSE)&lt;1,"Baixo",IF(VLOOKUP(BH255,Fundamentus!A:U,4,FALSE)&lt;1.5,"Moderado",IF(VLOOKUP(BH255,Fundamentus!A:U,4,FALSE)&gt;1.5,"Alto","n/a")))</f>
        <v>Baixo</v>
      </c>
      <c r="EO255" s="20" t="str">
        <f>IF(VLOOKUP(BH255,Fundamentus!A:U,8,FALSE)&lt;0,"Risco elevado",IF(VLOOKUP(BH255,Fundamentus!A:U,8,FALSE)&lt;1,"Saudável",IF(VLOOKUP(BH255,Fundamentus!A:U,8,FALSE)&lt;3,"Estável",IF(VLOOKUP(BH255,Fundamentus!A:U,8,FALSE)&gt;3,"Alerta","n/a"))))</f>
        <v>Estável</v>
      </c>
      <c r="EP255" s="36" t="str">
        <f t="shared" si="258"/>
        <v>Bom</v>
      </c>
      <c r="EQ255" s="20" t="str">
        <f>IF(VLOOKUP(BH255,Fundamentus!A:U,12,FALSE)&lt;2,"Subvalorizada",IF(VLOOKUP(BH255,Fundamentus!A:U,12,FALSE)&lt;6,"Muita barata",IF(VLOOKUP(BH255,Fundamentus!A:U,12,FALSE)&lt;6,"Barata",IF(VLOOKUP(BH255,Fundamentus!A:U,12,FALSE)&lt;8,"Atrativa",IF(VLOOKUP(BH255,Fundamentus!A:U,12,FALSE)&gt;8,"Supervalorizada","n/a")))))</f>
        <v>Muita barata</v>
      </c>
      <c r="ES255" s="20" t="str">
        <f>IF(VLOOKUP(BH255,Fundamentus!A:U,17,FALSE)&lt;0.1,"Fraco retorno",IF(VLOOKUP(BH255,Fundamentus!A:U,17,FALSE)&gt;0.1,"Bom retorno","n/a"))</f>
        <v>Fraco retorno</v>
      </c>
      <c r="ET255" s="20" t="str">
        <f>IF(VLOOKUP(BH255,Fundamentus!A:U,16,FALSE)&lt;0.1,"Ineficiente",IF(VLOOKUP(BH255,Fundamentus!A:U,16,FALSE)&gt;0.1,"Eficiente","n/a"))</f>
        <v>Ineficiente</v>
      </c>
      <c r="EU255" s="41" t="str">
        <f>IF(VLOOKUP(BH255,Fundamentus!A:U,16,FALSE)&lt;0.1,"Oper. Ineficiente",IF(VLOOKUP(BH255,Fundamentus!A:U,16,FALSE)&gt;0.1,"Oper.Eficiente","n/a"))</f>
        <v>Oper. Ineficiente</v>
      </c>
      <c r="EV255" s="42">
        <f>VLOOKUP(BH255,Fundamentus!A:U,14,FALSE)</f>
        <v>0.13650000000000001</v>
      </c>
      <c r="EW255" s="20" t="str">
        <f>IF(VLOOKUP(BH255,Fundamentus!A:U,21,FALSE)&lt;0,"Negativo",IF(VLOOKUP(BH255,Fundamentus!A:U,21,FALSE)&lt;0.05,"Fraco",IF(VLOOKUP(BH255,Fundamentus!A:U,21,FALSE)&lt;0.1,"Bom",IF(VLOOKUP(BH255,Fundamentus!A:U,21,FALSE)&gt;0.1,"Muito bom","n/a"))))</f>
        <v>Fraco</v>
      </c>
      <c r="EY255" s="37" t="str">
        <f>IF(VLOOKUP(BH255,Fundamentus!A:U,15,FALSE)&gt;1,"Bom",IF(VLOOKUP(BH255,Fundamentus!A:U,15,FALSE)&lt;1,"Ruim","n/a"))</f>
        <v>Bom</v>
      </c>
      <c r="EZ255" s="20" t="str">
        <f>IF(VLOOKUP(BH255,Fundamentus!A:U,20,FALSE)&lt;0.5,"Baixa",IF(VLOOKUP(BH255,Fundamentus!A:U,20,FALSE)&lt;1,"Moderada",IF(VLOOKUP(BH255,Fundamentus!A:U,20,FALSE)&lt;2,"Alerta",IF(VLOOKUP(BH255,Fundamentus!A:U,20,FALSE)&gt;2,"Alta","n/a"))))</f>
        <v>Baixa</v>
      </c>
    </row>
    <row r="256" spans="1:156" s="2" customFormat="1" ht="11.25" hidden="1" x14ac:dyDescent="0.2">
      <c r="A256" s="4">
        <v>4.5999999999999996</v>
      </c>
      <c r="B256" s="4">
        <v>4.82</v>
      </c>
      <c r="C256" s="4">
        <v>5.27</v>
      </c>
      <c r="D256" s="4">
        <v>4.72</v>
      </c>
      <c r="E256" s="4">
        <v>4.3099999999999996</v>
      </c>
      <c r="F256" s="4">
        <v>4.13</v>
      </c>
      <c r="G256" s="4">
        <v>3.97</v>
      </c>
      <c r="H256" s="4">
        <v>3.82</v>
      </c>
      <c r="I256" s="4">
        <v>3.71</v>
      </c>
      <c r="J256" s="4">
        <v>4.1500000000000004</v>
      </c>
      <c r="K256" s="4">
        <v>4.4400000000000004</v>
      </c>
      <c r="L256" s="4">
        <v>4.09</v>
      </c>
      <c r="M256" s="4">
        <v>4.07</v>
      </c>
      <c r="N256" s="4">
        <v>4.07</v>
      </c>
      <c r="O256" s="4">
        <v>4.38</v>
      </c>
      <c r="P256" s="4">
        <v>3.96</v>
      </c>
      <c r="Q256" s="4">
        <v>4.4400000000000004</v>
      </c>
      <c r="R256" s="4">
        <v>4.25</v>
      </c>
      <c r="S256" s="4">
        <v>4.3</v>
      </c>
      <c r="T256" s="4">
        <v>4.1399999999999997</v>
      </c>
      <c r="U256" s="4">
        <v>3.78</v>
      </c>
      <c r="V256" s="4">
        <v>3.4</v>
      </c>
      <c r="W256" s="4">
        <v>3.08</v>
      </c>
      <c r="X256" s="4">
        <v>2.89</v>
      </c>
      <c r="Y256" s="4">
        <v>2.82</v>
      </c>
      <c r="Z256" s="4">
        <v>2.84</v>
      </c>
      <c r="AA256" s="4">
        <v>2.74</v>
      </c>
      <c r="AB256" s="4">
        <v>2.78</v>
      </c>
      <c r="AC256" s="4">
        <v>2.77</v>
      </c>
      <c r="AD256" s="4">
        <v>2.81</v>
      </c>
      <c r="AE256" s="4">
        <v>2.6</v>
      </c>
      <c r="AF256" s="4">
        <v>2.56</v>
      </c>
      <c r="AG256" s="4">
        <v>2.5499999999999998</v>
      </c>
      <c r="AH256" s="4">
        <v>2.2999999999999998</v>
      </c>
      <c r="AI256" s="4">
        <v>2.2000000000000002</v>
      </c>
      <c r="AJ256" s="4">
        <v>2.0699999999999998</v>
      </c>
      <c r="AK256" s="4">
        <v>2.06</v>
      </c>
      <c r="AL256" s="4">
        <v>2.09</v>
      </c>
      <c r="AM256" s="4">
        <v>2.15</v>
      </c>
      <c r="AN256" s="4">
        <v>2.3199999999999998</v>
      </c>
      <c r="AO256" s="4">
        <v>2.23</v>
      </c>
      <c r="AP256" s="4">
        <v>2.25</v>
      </c>
      <c r="AQ256" s="4">
        <v>2.23</v>
      </c>
      <c r="AR256" s="4">
        <v>2.16</v>
      </c>
      <c r="AS256" s="4">
        <v>2.1800000000000002</v>
      </c>
      <c r="AT256" s="4">
        <v>2.33</v>
      </c>
      <c r="AU256" s="4">
        <v>2.3149999999999999</v>
      </c>
      <c r="AV256" s="4">
        <v>2.95</v>
      </c>
      <c r="AW256" s="4">
        <v>2.84</v>
      </c>
      <c r="AX256" s="4">
        <v>2.58</v>
      </c>
      <c r="AY256" s="12">
        <v>2.68</v>
      </c>
      <c r="AZ256" s="12">
        <v>2.87</v>
      </c>
      <c r="BA256" s="12">
        <v>2.76</v>
      </c>
      <c r="BB256" s="18">
        <v>2.75</v>
      </c>
      <c r="BC256" s="63">
        <v>3.02</v>
      </c>
      <c r="BD256" s="63">
        <v>3.08</v>
      </c>
      <c r="BE256" s="63">
        <v>2.88</v>
      </c>
      <c r="BF256" s="63">
        <v>2.71</v>
      </c>
      <c r="BG256" s="91" cm="1">
        <f t="array" aca="1" ref="BG256" ca="1">_FV(EE256,"Preço")</f>
        <v>2.5099999999999998</v>
      </c>
      <c r="BH256" s="93" t="s">
        <v>253</v>
      </c>
      <c r="BI256" s="32" cm="1">
        <f t="array" aca="1" ref="BI256" ca="1">_FV(EE256,"Beta")</f>
        <v>1.8141</v>
      </c>
      <c r="BJ256" s="96" cm="1">
        <f t="array" aca="1" ref="BJ256" ca="1">_FV(EE256,"Variação (%)",TRUE)</f>
        <v>-5.9924999999999999E-2</v>
      </c>
      <c r="BK256" s="49"/>
      <c r="BL256" s="49"/>
      <c r="BN256" s="32"/>
      <c r="BO256" s="20" cm="1">
        <f t="array" aca="1" ref="BO256" ca="1">_FV(EE256,"Baixo")</f>
        <v>2.5099999999999998</v>
      </c>
      <c r="BP256" s="20" cm="1">
        <f t="array" aca="1" ref="BP256" ca="1">_FV(EE256,"Alto")</f>
        <v>2.64</v>
      </c>
      <c r="BQ256" s="32"/>
      <c r="BR256" s="74" t="e">
        <f ca="1">SQRT(22.5*(BG256/VLOOKUP(BH256,Fundamentus!A:U,3,FALSE))*(BG256/VLOOKUP(BH256,Fundamentus!A:U,4,FALSE)))</f>
        <v>#NUM!</v>
      </c>
      <c r="BT256" s="73">
        <f t="shared" ca="1" si="235"/>
        <v>-7.3800738007380143E-2</v>
      </c>
      <c r="BU256" s="36">
        <f t="shared" si="236"/>
        <v>-0.37391304347826082</v>
      </c>
      <c r="BV256" s="8"/>
      <c r="BW256" s="72">
        <f t="shared" si="237"/>
        <v>2.06</v>
      </c>
      <c r="BX256" s="72">
        <f t="shared" si="238"/>
        <v>3.1942241379310343</v>
      </c>
      <c r="BY256" s="72">
        <f t="shared" si="239"/>
        <v>5.27</v>
      </c>
      <c r="BZ256" s="17"/>
      <c r="CA256" s="17"/>
      <c r="CB256" s="43">
        <f t="shared" si="240"/>
        <v>2.3677520317790162</v>
      </c>
      <c r="CC256" s="18">
        <f t="shared" si="241"/>
        <v>2.652839737581985</v>
      </c>
      <c r="CD256" s="43">
        <f t="shared" si="242"/>
        <v>2.9379274433849538</v>
      </c>
      <c r="CE256" s="98">
        <f t="shared" ca="1" si="243"/>
        <v>-0.50103787246688669</v>
      </c>
      <c r="CF256" s="17"/>
      <c r="CG256" s="20">
        <f t="shared" si="244"/>
        <v>-1.7866666666666666</v>
      </c>
      <c r="CH256" s="20">
        <f t="shared" si="245"/>
        <v>0.13666666666666671</v>
      </c>
      <c r="CI256" s="20">
        <f t="shared" si="246"/>
        <v>1.4233333333333329</v>
      </c>
      <c r="CJ256" s="49">
        <f t="shared" si="247"/>
        <v>3.3466666666666662</v>
      </c>
      <c r="CK256" s="20">
        <f t="shared" si="248"/>
        <v>4.6333333333333329</v>
      </c>
      <c r="CL256" s="20">
        <f t="shared" si="249"/>
        <v>6.5566666666666658</v>
      </c>
      <c r="CM256" s="20">
        <f t="shared" si="250"/>
        <v>7.8433333333333319</v>
      </c>
      <c r="CN256" s="2" cm="1">
        <f t="array" aca="1" ref="CN256" ca="1">MAX(_xlfn._xlws.FILTER(CG256:CM256,CG256:CM256&lt;BG256))</f>
        <v>1.4233333333333329</v>
      </c>
      <c r="CO256" s="2" cm="1">
        <f t="array" aca="1" ref="CO256" ca="1">MIN(_xlfn._xlws.FILTER($CG256:$CM256,$CG256:$CM256&gt;BG256))</f>
        <v>3.3466666666666662</v>
      </c>
      <c r="CP256" s="19">
        <f t="shared" ca="1" si="277"/>
        <v>1.3512880562060894</v>
      </c>
      <c r="CQ256" s="23">
        <f t="shared" ca="1" si="278"/>
        <v>-0.67564402810304469</v>
      </c>
      <c r="CR256" s="23">
        <f t="shared" ca="1" si="279"/>
        <v>-0.45042935206869644</v>
      </c>
      <c r="CS256" s="23">
        <f t="shared" ca="1" si="280"/>
        <v>-0.27025761124121789</v>
      </c>
      <c r="CT256" s="23">
        <f t="shared" ca="1" si="281"/>
        <v>-0.15014311735623215</v>
      </c>
      <c r="CU256" s="23">
        <f t="shared" ca="1" si="282"/>
        <v>-7.9487532718005252E-2</v>
      </c>
      <c r="CV256" s="23">
        <f t="shared" ca="1" si="283"/>
        <v>-4.094812291533604E-2</v>
      </c>
      <c r="CW256" s="23">
        <f t="shared" ca="1" si="284"/>
        <v>-2.0789047018555221E-2</v>
      </c>
      <c r="CX256" s="24">
        <f t="shared" ca="1" si="285"/>
        <v>2.0789047018555221E-2</v>
      </c>
      <c r="CY256" s="24">
        <f t="shared" ca="1" si="286"/>
        <v>4.094812291533604E-2</v>
      </c>
      <c r="CZ256" s="24">
        <f t="shared" ca="1" si="287"/>
        <v>7.9487532718005252E-2</v>
      </c>
      <c r="DA256" s="24">
        <f t="shared" ca="1" si="288"/>
        <v>0.15014311735623215</v>
      </c>
      <c r="DB256" s="24">
        <f t="shared" ca="1" si="289"/>
        <v>0.27025761124121789</v>
      </c>
      <c r="DC256" s="24">
        <f t="shared" ca="1" si="290"/>
        <v>0.45042935206869644</v>
      </c>
      <c r="DD256" s="24">
        <f t="shared" ca="1" si="291"/>
        <v>0.67564402810304469</v>
      </c>
      <c r="DF256" s="19" cm="1">
        <f t="array" aca="1" ref="DF256" ca="1">MAX(_xlfn._xlws.FILTER(CQ256:DD256,CQ256:DD256&lt;BJ256))</f>
        <v>-7.9487532718005252E-2</v>
      </c>
      <c r="DG256" s="19" cm="1">
        <f t="array" aca="1" ref="DG256" ca="1">MIN(_xlfn._xlws.FILTER(CQ256:DD256,CQ256:DD256&gt;BJ256))</f>
        <v>-4.094812291533604E-2</v>
      </c>
      <c r="DH256" s="2" cm="1">
        <f t="array" aca="1" ref="DH256" ca="1">_FV(EE256,"Fechamento anterior",TRUE)</f>
        <v>2.67</v>
      </c>
      <c r="DI256" s="36">
        <f t="shared" ca="1" si="251"/>
        <v>0.50759571008509474</v>
      </c>
      <c r="DJ256" s="18">
        <f t="shared" ca="1" si="292"/>
        <v>2.4577682876429261</v>
      </c>
      <c r="DK256" s="18">
        <f t="shared" ca="1" si="293"/>
        <v>2.5606685118160528</v>
      </c>
      <c r="DL256" s="9"/>
      <c r="DM256" s="9"/>
      <c r="DN256" s="9"/>
      <c r="DO256" s="9"/>
      <c r="DP256" s="79">
        <v>4.2843340234644554E-2</v>
      </c>
      <c r="DQ256" s="79">
        <v>2.5201964843908565E-2</v>
      </c>
      <c r="DR256" s="79">
        <v>2.5201964843908565E-2</v>
      </c>
      <c r="DS256" s="79">
        <f t="shared" ca="1" si="252"/>
        <v>3.8539409802669213E-2</v>
      </c>
      <c r="DT256" s="47"/>
      <c r="DU256" s="43">
        <f t="shared" si="253"/>
        <v>0.14254385290148436</v>
      </c>
      <c r="DV256" s="83">
        <f t="shared" ca="1" si="254"/>
        <v>2.2402000000000002</v>
      </c>
      <c r="DW256" s="83">
        <f t="shared" ca="1" si="255"/>
        <v>7.8065999999999995</v>
      </c>
      <c r="DX256" s="83">
        <f t="shared" ca="1" si="276"/>
        <v>-5.5663999999999998</v>
      </c>
      <c r="DY256" s="67"/>
      <c r="DZ256" s="67"/>
      <c r="EA256" s="85"/>
      <c r="EB256" s="44">
        <v>2098600</v>
      </c>
      <c r="EC256" s="44" cm="1">
        <f t="array" aca="1" ref="EC256" ca="1">_FV(EE256,"Volume")</f>
        <v>2676300</v>
      </c>
      <c r="EE256" s="2" t="e" vm="258">
        <v>#VALUE!</v>
      </c>
      <c r="EG256" s="10" cm="1">
        <f t="array" aca="1" ref="EG256" ca="1">_FV(EE256,"Ações em circulação",TRUE)</f>
        <v>206917300</v>
      </c>
      <c r="EH256" s="21">
        <f>VLOOKUP(BH256,Fundamentus!A:U,5,FALSE)</f>
        <v>0.2</v>
      </c>
      <c r="EI256" s="2">
        <f t="shared" ca="1" si="256"/>
        <v>2596812114.9999995</v>
      </c>
      <c r="EJ256" s="20">
        <v>-86635238.923500001</v>
      </c>
      <c r="EK256" s="20">
        <f t="shared" ca="1" si="257"/>
        <v>-80241494.353499994</v>
      </c>
      <c r="EM256" s="40" t="str">
        <f>IF(VLOOKUP(BH256,Fundamentus!A:U,3,FALSE)&lt;15,"Bom",IF(VLOOKUP(BH256,Fundamentus!A:U,3,FALSE)&gt;15,"Ruim","n/a"))</f>
        <v>Bom</v>
      </c>
      <c r="EN256" s="36" t="str">
        <f>IF(VLOOKUP(BH256,Fundamentus!A:U,4,FALSE)&lt;1,"Baixo",IF(VLOOKUP(BH256,Fundamentus!A:U,4,FALSE)&lt;1.5,"Moderado",IF(VLOOKUP(BH256,Fundamentus!A:U,4,FALSE)&gt;1.5,"Alto","n/a")))</f>
        <v>Moderado</v>
      </c>
      <c r="EO256" s="20" t="str">
        <f>IF(VLOOKUP(BH256,Fundamentus!A:U,8,FALSE)&lt;0,"Risco elevado",IF(VLOOKUP(BH256,Fundamentus!A:U,8,FALSE)&lt;1,"Saudável",IF(VLOOKUP(BH256,Fundamentus!A:U,8,FALSE)&lt;3,"Estável",IF(VLOOKUP(BH256,Fundamentus!A:U,8,FALSE)&gt;3,"Alerta","n/a"))))</f>
        <v>Saudável</v>
      </c>
      <c r="EP256" s="36" t="str">
        <f t="shared" si="258"/>
        <v>Ruim</v>
      </c>
      <c r="EQ256" s="20" t="str">
        <f>IF(VLOOKUP(BH256,Fundamentus!A:U,12,FALSE)&lt;2,"Subvalorizada",IF(VLOOKUP(BH256,Fundamentus!A:U,12,FALSE)&lt;6,"Muita barata",IF(VLOOKUP(BH256,Fundamentus!A:U,12,FALSE)&lt;6,"Barata",IF(VLOOKUP(BH256,Fundamentus!A:U,12,FALSE)&lt;8,"Atrativa",IF(VLOOKUP(BH256,Fundamentus!A:U,12,FALSE)&gt;8,"Supervalorizada","n/a")))))</f>
        <v>Muita barata</v>
      </c>
      <c r="ES256" s="20" t="str">
        <f>IF(VLOOKUP(BH256,Fundamentus!A:U,17,FALSE)&lt;0.1,"Fraco retorno",IF(VLOOKUP(BH256,Fundamentus!A:U,17,FALSE)&gt;0.1,"Bom retorno","n/a"))</f>
        <v>Fraco retorno</v>
      </c>
      <c r="ET256" s="20" t="str">
        <f>IF(VLOOKUP(BH256,Fundamentus!A:U,16,FALSE)&lt;0.1,"Ineficiente",IF(VLOOKUP(BH256,Fundamentus!A:U,16,FALSE)&gt;0.1,"Eficiente","n/a"))</f>
        <v>Ineficiente</v>
      </c>
      <c r="EU256" s="41" t="str">
        <f>IF(VLOOKUP(BH256,Fundamentus!A:U,16,FALSE)&lt;0.1,"Oper. Ineficiente",IF(VLOOKUP(BH256,Fundamentus!A:U,16,FALSE)&gt;0.1,"Oper.Eficiente","n/a"))</f>
        <v>Oper. Ineficiente</v>
      </c>
      <c r="EV256" s="42">
        <f>VLOOKUP(BH256,Fundamentus!A:U,14,FALSE)</f>
        <v>-3.09E-2</v>
      </c>
      <c r="EW256" s="20" t="str">
        <f>IF(VLOOKUP(BH256,Fundamentus!A:U,21,FALSE)&lt;0,"Negativo",IF(VLOOKUP(BH256,Fundamentus!A:U,21,FALSE)&lt;0.05,"Fraco",IF(VLOOKUP(BH256,Fundamentus!A:U,21,FALSE)&lt;0.1,"Bom",IF(VLOOKUP(BH256,Fundamentus!A:U,21,FALSE)&gt;0.1,"Muito bom","n/a"))))</f>
        <v>Muito bom</v>
      </c>
      <c r="EY256" s="37" t="str">
        <f>IF(VLOOKUP(BH256,Fundamentus!A:U,15,FALSE)&gt;1,"Bom",IF(VLOOKUP(BH256,Fundamentus!A:U,15,FALSE)&lt;1,"Ruim","n/a"))</f>
        <v>Bom</v>
      </c>
      <c r="EZ256" s="20" t="str">
        <f>IF(VLOOKUP(BH256,Fundamentus!A:U,20,FALSE)&lt;0.5,"Baixa",IF(VLOOKUP(BH256,Fundamentus!A:U,20,FALSE)&lt;1,"Moderada",IF(VLOOKUP(BH256,Fundamentus!A:U,20,FALSE)&lt;2,"Alerta",IF(VLOOKUP(BH256,Fundamentus!A:U,20,FALSE)&gt;2,"Alta","n/a"))))</f>
        <v>Moderada</v>
      </c>
    </row>
    <row r="257" spans="1:156" s="2" customFormat="1" ht="11.25" hidden="1" x14ac:dyDescent="0.2">
      <c r="A257" s="4">
        <v>2.97</v>
      </c>
      <c r="B257" s="4">
        <v>2.98</v>
      </c>
      <c r="C257" s="4">
        <v>2.87</v>
      </c>
      <c r="D257" s="4">
        <v>2.74</v>
      </c>
      <c r="E257" s="4">
        <v>2.62</v>
      </c>
      <c r="F257" s="4">
        <v>2.4900000000000002</v>
      </c>
      <c r="G257" s="4">
        <v>2.02</v>
      </c>
      <c r="H257" s="4">
        <v>2.2999999999999998</v>
      </c>
      <c r="I257" s="4">
        <v>2.31</v>
      </c>
      <c r="J257" s="4">
        <v>2.38</v>
      </c>
      <c r="K257" s="4">
        <v>2.6</v>
      </c>
      <c r="L257" s="4">
        <v>2.39</v>
      </c>
      <c r="M257" s="4">
        <v>2.2599999999999998</v>
      </c>
      <c r="N257" s="4">
        <v>2.5</v>
      </c>
      <c r="O257" s="4">
        <v>2.56</v>
      </c>
      <c r="P257" s="4">
        <v>2.5</v>
      </c>
      <c r="Q257" s="4">
        <v>2.5</v>
      </c>
      <c r="R257" s="4">
        <v>2.35</v>
      </c>
      <c r="S257" s="4">
        <v>2.19</v>
      </c>
      <c r="T257" s="4">
        <v>2.0699999999999998</v>
      </c>
      <c r="U257" s="4">
        <v>2.0099999999999998</v>
      </c>
      <c r="V257" s="4">
        <v>1.87</v>
      </c>
      <c r="W257" s="4">
        <v>1.73</v>
      </c>
      <c r="X257" s="4">
        <v>1.81</v>
      </c>
      <c r="Y257" s="4">
        <v>1.7</v>
      </c>
      <c r="Z257" s="4">
        <v>1.57</v>
      </c>
      <c r="AA257" s="4">
        <v>1.44</v>
      </c>
      <c r="AB257" s="4">
        <v>1.45</v>
      </c>
      <c r="AC257" s="4">
        <v>1.31</v>
      </c>
      <c r="AD257" s="4">
        <v>1.3</v>
      </c>
      <c r="AE257" s="4">
        <v>1.34</v>
      </c>
      <c r="AF257" s="4">
        <v>1.25</v>
      </c>
      <c r="AG257" s="4">
        <v>1.22</v>
      </c>
      <c r="AH257" s="4">
        <v>1.1599999999999999</v>
      </c>
      <c r="AI257" s="4">
        <v>1.1499999999999999</v>
      </c>
      <c r="AJ257" s="4">
        <v>1.1000000000000001</v>
      </c>
      <c r="AK257" s="4">
        <v>1.07</v>
      </c>
      <c r="AL257" s="4">
        <v>1.0900000000000001</v>
      </c>
      <c r="AM257" s="4">
        <v>1.07</v>
      </c>
      <c r="AN257" s="4">
        <v>1.07</v>
      </c>
      <c r="AO257" s="4">
        <v>1.05</v>
      </c>
      <c r="AP257" s="4">
        <v>1.04</v>
      </c>
      <c r="AQ257" s="4">
        <v>1</v>
      </c>
      <c r="AR257" s="4">
        <v>1.17</v>
      </c>
      <c r="AS257" s="4">
        <v>1.0900000000000001</v>
      </c>
      <c r="AT257" s="4">
        <v>1</v>
      </c>
      <c r="AU257" s="4">
        <v>1</v>
      </c>
      <c r="AV257" s="4">
        <v>1</v>
      </c>
      <c r="AW257" s="4">
        <v>0.98</v>
      </c>
      <c r="AX257" s="4">
        <v>0.96</v>
      </c>
      <c r="AY257" s="12">
        <v>0.99</v>
      </c>
      <c r="AZ257" s="12">
        <v>0.99</v>
      </c>
      <c r="BA257" s="12">
        <v>0.94</v>
      </c>
      <c r="BB257" s="18">
        <v>0.94</v>
      </c>
      <c r="BC257" s="63">
        <v>0.91</v>
      </c>
      <c r="BD257" s="63">
        <v>0.92</v>
      </c>
      <c r="BE257" s="63">
        <v>0.91</v>
      </c>
      <c r="BF257" s="63">
        <v>0.89</v>
      </c>
      <c r="BG257" s="91" cm="1">
        <f t="array" aca="1" ref="BG257" ca="1">_FV(EE257,"Preço")</f>
        <v>0.88</v>
      </c>
      <c r="BH257" s="93" t="s">
        <v>254</v>
      </c>
      <c r="BI257" s="32" cm="1">
        <f t="array" aca="1" ref="BI257" ca="1">_FV(EE257,"Beta")</f>
        <v>1.6327</v>
      </c>
      <c r="BJ257" s="96" cm="1">
        <f t="array" aca="1" ref="BJ257" ca="1">_FV(EE257,"Variação (%)",TRUE)</f>
        <v>-1.1235999999999999E-2</v>
      </c>
      <c r="BK257" s="49"/>
      <c r="BL257" s="49"/>
      <c r="BN257" s="32"/>
      <c r="BO257" s="20" cm="1">
        <f t="array" aca="1" ref="BO257" ca="1">_FV(EE257,"Baixo")</f>
        <v>0.88</v>
      </c>
      <c r="BP257" s="20" cm="1">
        <f t="array" aca="1" ref="BP257" ca="1">_FV(EE257,"Alto")</f>
        <v>0.89</v>
      </c>
      <c r="BQ257" s="32"/>
      <c r="BR257" s="74" t="e">
        <f ca="1">SQRT(22.5*(BG257/VLOOKUP(BH257,Fundamentus!A:U,3,FALSE))*(BG257/VLOOKUP(BH257,Fundamentus!A:U,4,FALSE)))</f>
        <v>#NUM!</v>
      </c>
      <c r="BT257" s="73">
        <f t="shared" ca="1" si="235"/>
        <v>-1.1235955056179785E-2</v>
      </c>
      <c r="BU257" s="36">
        <f t="shared" si="236"/>
        <v>-0.69360269360269355</v>
      </c>
      <c r="BV257" s="8"/>
      <c r="BW257" s="72">
        <f t="shared" si="237"/>
        <v>0.89</v>
      </c>
      <c r="BX257" s="72">
        <f t="shared" si="238"/>
        <v>1.639482758620689</v>
      </c>
      <c r="BY257" s="72">
        <f t="shared" si="239"/>
        <v>2.98</v>
      </c>
      <c r="BZ257" s="17"/>
      <c r="CA257" s="17"/>
      <c r="CB257" s="43">
        <f t="shared" si="240"/>
        <v>0.86923643311734344</v>
      </c>
      <c r="CC257" s="18">
        <f t="shared" si="241"/>
        <v>0.89103092783504678</v>
      </c>
      <c r="CD257" s="43">
        <f t="shared" si="242"/>
        <v>0.91282542255275012</v>
      </c>
      <c r="CE257" s="98">
        <f t="shared" ca="1" si="243"/>
        <v>-0.50613368091009336</v>
      </c>
      <c r="CF257" s="17"/>
      <c r="CG257" s="20">
        <f t="shared" si="244"/>
        <v>-1.8966666666666665</v>
      </c>
      <c r="CH257" s="20">
        <f t="shared" si="245"/>
        <v>-0.50333333333333319</v>
      </c>
      <c r="CI257" s="20">
        <f t="shared" si="246"/>
        <v>0.19333333333333336</v>
      </c>
      <c r="CJ257" s="49">
        <f t="shared" si="247"/>
        <v>1.5866666666666667</v>
      </c>
      <c r="CK257" s="20">
        <f t="shared" si="248"/>
        <v>2.2833333333333332</v>
      </c>
      <c r="CL257" s="20">
        <f t="shared" si="249"/>
        <v>3.6766666666666667</v>
      </c>
      <c r="CM257" s="20">
        <f t="shared" si="250"/>
        <v>4.3733333333333331</v>
      </c>
      <c r="CN257" s="2" cm="1">
        <f t="array" aca="1" ref="CN257" ca="1">MAX(_xlfn._xlws.FILTER(CG257:CM257,CG257:CM257&lt;BG257))</f>
        <v>0.19333333333333336</v>
      </c>
      <c r="CO257" s="2" cm="1">
        <f t="array" aca="1" ref="CO257" ca="1">MIN(_xlfn._xlws.FILTER($CG257:$CM257,$CG257:$CM257&gt;BG257))</f>
        <v>1.5866666666666667</v>
      </c>
      <c r="CP257" s="19">
        <f t="shared" ca="1" si="277"/>
        <v>7.206896551724137</v>
      </c>
      <c r="CQ257" s="23">
        <f t="shared" ca="1" si="278"/>
        <v>-3.6034482758620685</v>
      </c>
      <c r="CR257" s="23">
        <f t="shared" ca="1" si="279"/>
        <v>-2.4022988505747125</v>
      </c>
      <c r="CS257" s="23">
        <f t="shared" ca="1" si="280"/>
        <v>-1.4413793103448274</v>
      </c>
      <c r="CT257" s="23">
        <f t="shared" ca="1" si="281"/>
        <v>-0.80076628352490409</v>
      </c>
      <c r="CU257" s="23">
        <f t="shared" ca="1" si="282"/>
        <v>-0.42393509127789042</v>
      </c>
      <c r="CV257" s="23">
        <f t="shared" ca="1" si="283"/>
        <v>-0.21839080459770113</v>
      </c>
      <c r="CW257" s="23">
        <f t="shared" ca="1" si="284"/>
        <v>-0.11087533156498672</v>
      </c>
      <c r="CX257" s="24">
        <f t="shared" ca="1" si="285"/>
        <v>0.11087533156498672</v>
      </c>
      <c r="CY257" s="24">
        <f t="shared" ca="1" si="286"/>
        <v>0.21839080459770113</v>
      </c>
      <c r="CZ257" s="24">
        <f t="shared" ca="1" si="287"/>
        <v>0.42393509127789042</v>
      </c>
      <c r="DA257" s="24">
        <f t="shared" ca="1" si="288"/>
        <v>0.80076628352490409</v>
      </c>
      <c r="DB257" s="24">
        <f t="shared" ca="1" si="289"/>
        <v>1.4413793103448274</v>
      </c>
      <c r="DC257" s="24">
        <f t="shared" ca="1" si="290"/>
        <v>2.4022988505747125</v>
      </c>
      <c r="DD257" s="24">
        <f t="shared" ca="1" si="291"/>
        <v>3.6034482758620685</v>
      </c>
      <c r="DF257" s="19" cm="1">
        <f t="array" aca="1" ref="DF257" ca="1">MAX(_xlfn._xlws.FILTER(CQ257:DD257,CQ257:DD257&lt;BJ257))</f>
        <v>-0.11087533156498672</v>
      </c>
      <c r="DG257" s="19" cm="1">
        <f t="array" aca="1" ref="DG257" ca="1">MIN(_xlfn._xlws.FILTER(CQ257:DD257,CQ257:DD257&gt;BJ257))</f>
        <v>0.11087533156498672</v>
      </c>
      <c r="DH257" s="2" cm="1">
        <f t="array" aca="1" ref="DH257" ca="1">_FV(EE257,"Fechamento anterior",TRUE)</f>
        <v>0.89</v>
      </c>
      <c r="DI257" s="36">
        <f t="shared" ca="1" si="251"/>
        <v>0.44933068114617492</v>
      </c>
      <c r="DJ257" s="18">
        <f t="shared" ca="1" si="292"/>
        <v>0.79132095490716181</v>
      </c>
      <c r="DK257" s="18">
        <f t="shared" ca="1" si="293"/>
        <v>0.98867904509283822</v>
      </c>
      <c r="DL257" s="9"/>
      <c r="DM257" s="9"/>
      <c r="DN257" s="9"/>
      <c r="DO257" s="9"/>
      <c r="DP257" s="79">
        <v>0.19550295857988154</v>
      </c>
      <c r="DQ257" s="79">
        <v>0.19550295857988154</v>
      </c>
      <c r="DR257" s="79">
        <v>0.22510121457489879</v>
      </c>
      <c r="DS257" s="79">
        <f t="shared" ca="1" si="252"/>
        <v>0.22175066312997344</v>
      </c>
      <c r="DT257" s="47"/>
      <c r="DU257" s="43">
        <f t="shared" si="253"/>
        <v>1.0897247358851694E-2</v>
      </c>
      <c r="DV257" s="83">
        <f t="shared" ca="1" si="254"/>
        <v>2.0588000000000002</v>
      </c>
      <c r="DW257" s="83">
        <f t="shared" ca="1" si="255"/>
        <v>2.7563</v>
      </c>
      <c r="DX257" s="83">
        <f t="shared" ca="1" si="276"/>
        <v>-0.69749999999999979</v>
      </c>
      <c r="DY257" s="67"/>
      <c r="DZ257" s="67"/>
      <c r="EA257" s="85"/>
      <c r="EB257" s="44">
        <v>15100</v>
      </c>
      <c r="EC257" s="44" cm="1">
        <f t="array" aca="1" ref="EC257" ca="1">_FV(EE257,"Volume")</f>
        <v>10400</v>
      </c>
      <c r="EE257" s="2" t="e" vm="259">
        <v>#VALUE!</v>
      </c>
      <c r="EG257" s="10" cm="1">
        <f t="array" aca="1" ref="EG257" ca="1">_FV(EE257,"Ações em circulação",TRUE)</f>
        <v>38366080</v>
      </c>
      <c r="EH257" s="21">
        <f>VLOOKUP(BH257,Fundamentus!A:U,5,FALSE)</f>
        <v>0.3</v>
      </c>
      <c r="EI257" s="2">
        <f t="shared" ca="1" si="256"/>
        <v>112540501.33333333</v>
      </c>
      <c r="EJ257" s="20">
        <v>-43649728.650666676</v>
      </c>
      <c r="EK257" s="20">
        <f t="shared" ca="1" si="257"/>
        <v>-43159282.261333331</v>
      </c>
      <c r="EM257" s="40" t="str">
        <f>IF(VLOOKUP(BH257,Fundamentus!A:U,3,FALSE)&lt;15,"Bom",IF(VLOOKUP(BH257,Fundamentus!A:U,3,FALSE)&gt;15,"Ruim","n/a"))</f>
        <v>Bom</v>
      </c>
      <c r="EN257" s="36" t="str">
        <f>IF(VLOOKUP(BH257,Fundamentus!A:U,4,FALSE)&lt;1,"Baixo",IF(VLOOKUP(BH257,Fundamentus!A:U,4,FALSE)&lt;1.5,"Moderado",IF(VLOOKUP(BH257,Fundamentus!A:U,4,FALSE)&gt;1.5,"Alto","n/a")))</f>
        <v>Baixo</v>
      </c>
      <c r="EO257" s="20" t="str">
        <f>IF(VLOOKUP(BH257,Fundamentus!A:U,8,FALSE)&lt;0,"Risco elevado",IF(VLOOKUP(BH257,Fundamentus!A:U,8,FALSE)&lt;1,"Saudável",IF(VLOOKUP(BH257,Fundamentus!A:U,8,FALSE)&lt;3,"Estável",IF(VLOOKUP(BH257,Fundamentus!A:U,8,FALSE)&gt;3,"Alerta","n/a"))))</f>
        <v>Saudável</v>
      </c>
      <c r="EP257" s="36" t="str">
        <f t="shared" si="258"/>
        <v>Ruim</v>
      </c>
      <c r="EQ257" s="20" t="str">
        <f>IF(VLOOKUP(BH257,Fundamentus!A:U,12,FALSE)&lt;2,"Subvalorizada",IF(VLOOKUP(BH257,Fundamentus!A:U,12,FALSE)&lt;6,"Muita barata",IF(VLOOKUP(BH257,Fundamentus!A:U,12,FALSE)&lt;6,"Barata",IF(VLOOKUP(BH257,Fundamentus!A:U,12,FALSE)&lt;8,"Atrativa",IF(VLOOKUP(BH257,Fundamentus!A:U,12,FALSE)&gt;8,"Supervalorizada","n/a")))))</f>
        <v>Supervalorizada</v>
      </c>
      <c r="ES257" s="20" t="str">
        <f>IF(VLOOKUP(BH257,Fundamentus!A:U,17,FALSE)&lt;0.1,"Fraco retorno",IF(VLOOKUP(BH257,Fundamentus!A:U,17,FALSE)&gt;0.1,"Bom retorno","n/a"))</f>
        <v>Fraco retorno</v>
      </c>
      <c r="ET257" s="20" t="str">
        <f>IF(VLOOKUP(BH257,Fundamentus!A:U,16,FALSE)&lt;0.1,"Ineficiente",IF(VLOOKUP(BH257,Fundamentus!A:U,16,FALSE)&gt;0.1,"Eficiente","n/a"))</f>
        <v>Ineficiente</v>
      </c>
      <c r="EU257" s="41" t="str">
        <f>IF(VLOOKUP(BH257,Fundamentus!A:U,16,FALSE)&lt;0.1,"Oper. Ineficiente",IF(VLOOKUP(BH257,Fundamentus!A:U,16,FALSE)&gt;0.1,"Oper.Eficiente","n/a"))</f>
        <v>Oper. Ineficiente</v>
      </c>
      <c r="EV257" s="42">
        <f>VLOOKUP(BH257,Fundamentus!A:U,14,FALSE)</f>
        <v>-0.38350000000000001</v>
      </c>
      <c r="EW257" s="20" t="str">
        <f>IF(VLOOKUP(BH257,Fundamentus!A:U,21,FALSE)&lt;0,"Negativo",IF(VLOOKUP(BH257,Fundamentus!A:U,21,FALSE)&lt;0.05,"Fraco",IF(VLOOKUP(BH257,Fundamentus!A:U,21,FALSE)&lt;0.1,"Bom",IF(VLOOKUP(BH257,Fundamentus!A:U,21,FALSE)&gt;0.1,"Muito bom","n/a"))))</f>
        <v>Muito bom</v>
      </c>
      <c r="EY257" s="37" t="str">
        <f>IF(VLOOKUP(BH257,Fundamentus!A:U,15,FALSE)&gt;1,"Bom",IF(VLOOKUP(BH257,Fundamentus!A:U,15,FALSE)&lt;1,"Ruim","n/a"))</f>
        <v>Bom</v>
      </c>
      <c r="EZ257" s="20" t="str">
        <f>IF(VLOOKUP(BH257,Fundamentus!A:U,20,FALSE)&lt;0.5,"Baixa",IF(VLOOKUP(BH257,Fundamentus!A:U,20,FALSE)&lt;1,"Moderada",IF(VLOOKUP(BH257,Fundamentus!A:U,20,FALSE)&lt;2,"Alerta",IF(VLOOKUP(BH257,Fundamentus!A:U,20,FALSE)&gt;2,"Alta","n/a"))))</f>
        <v>Baixa</v>
      </c>
    </row>
    <row r="258" spans="1:156" s="2" customFormat="1" ht="11.25" hidden="1" x14ac:dyDescent="0.2">
      <c r="A258" s="4">
        <v>4.6900000000000004</v>
      </c>
      <c r="B258" s="4">
        <v>4.0599999999999996</v>
      </c>
      <c r="C258" s="4">
        <v>3.32</v>
      </c>
      <c r="D258" s="4">
        <v>4.22</v>
      </c>
      <c r="E258" s="4">
        <v>3.42</v>
      </c>
      <c r="F258" s="4">
        <v>3.9</v>
      </c>
      <c r="G258" s="4">
        <v>4.22</v>
      </c>
      <c r="H258" s="4">
        <v>2.98</v>
      </c>
      <c r="I258" s="4">
        <v>2.79</v>
      </c>
      <c r="J258" s="4">
        <v>3.18</v>
      </c>
      <c r="K258" s="4">
        <v>3.65</v>
      </c>
      <c r="L258" s="4">
        <v>3.51</v>
      </c>
      <c r="M258" s="4">
        <v>2.92</v>
      </c>
      <c r="N258" s="4">
        <v>2.7</v>
      </c>
      <c r="O258" s="4">
        <v>2.98</v>
      </c>
      <c r="P258" s="4">
        <v>3.22</v>
      </c>
      <c r="Q258" s="4">
        <v>3.3</v>
      </c>
      <c r="R258" s="4">
        <v>2.99</v>
      </c>
      <c r="S258" s="4">
        <v>3.07</v>
      </c>
      <c r="T258" s="4">
        <v>3.01</v>
      </c>
      <c r="U258" s="4">
        <v>2.75</v>
      </c>
      <c r="V258" s="4">
        <v>2.72</v>
      </c>
      <c r="W258" s="4">
        <v>2.99</v>
      </c>
      <c r="X258" s="4">
        <v>2.98</v>
      </c>
      <c r="Y258" s="4">
        <v>2.71</v>
      </c>
      <c r="Z258" s="4">
        <v>2.66</v>
      </c>
      <c r="AA258" s="4">
        <v>2.5299999999999998</v>
      </c>
      <c r="AB258" s="4">
        <v>2.48</v>
      </c>
      <c r="AC258" s="4">
        <v>2.15</v>
      </c>
      <c r="AD258" s="4">
        <v>2.31</v>
      </c>
      <c r="AE258" s="4">
        <v>2.2599999999999998</v>
      </c>
      <c r="AF258" s="4">
        <v>2.1800000000000002</v>
      </c>
      <c r="AG258" s="4">
        <v>2.0099999999999998</v>
      </c>
      <c r="AH258" s="4">
        <v>1.92</v>
      </c>
      <c r="AI258" s="4">
        <v>2.04</v>
      </c>
      <c r="AJ258" s="4">
        <v>1.92</v>
      </c>
      <c r="AK258" s="4">
        <v>1.87</v>
      </c>
      <c r="AL258" s="4">
        <v>1.89</v>
      </c>
      <c r="AM258" s="4">
        <v>1.84</v>
      </c>
      <c r="AN258" s="4">
        <v>1.86</v>
      </c>
      <c r="AO258" s="4">
        <v>1.78</v>
      </c>
      <c r="AP258" s="4">
        <v>1.77</v>
      </c>
      <c r="AQ258" s="4">
        <v>1.77</v>
      </c>
      <c r="AR258" s="4">
        <v>1.67</v>
      </c>
      <c r="AS258" s="4">
        <v>1.72</v>
      </c>
      <c r="AT258" s="4">
        <v>1.9</v>
      </c>
      <c r="AU258" s="4">
        <v>1.92</v>
      </c>
      <c r="AV258" s="4">
        <v>1.95</v>
      </c>
      <c r="AW258" s="4">
        <v>1.82</v>
      </c>
      <c r="AX258" s="4">
        <v>1.76</v>
      </c>
      <c r="AY258" s="12">
        <v>1.8</v>
      </c>
      <c r="AZ258" s="12">
        <v>1.78</v>
      </c>
      <c r="BA258" s="12">
        <v>1.76</v>
      </c>
      <c r="BB258" s="18">
        <v>1.76</v>
      </c>
      <c r="BC258" s="63">
        <v>1.86</v>
      </c>
      <c r="BD258" s="63">
        <v>1.7</v>
      </c>
      <c r="BE258" s="63">
        <v>1.59</v>
      </c>
      <c r="BF258" s="63">
        <v>1.53</v>
      </c>
      <c r="BG258" s="91" cm="1">
        <f t="array" aca="1" ref="BG258" ca="1">_FV(EE258,"Preço")</f>
        <v>1.5</v>
      </c>
      <c r="BH258" s="93" t="s">
        <v>255</v>
      </c>
      <c r="BI258" s="32" cm="1">
        <f t="array" aca="1" ref="BI258" ca="1">_FV(EE258,"Beta")</f>
        <v>1.0449999999999999</v>
      </c>
      <c r="BJ258" s="96" cm="1">
        <f t="array" aca="1" ref="BJ258" ca="1">_FV(EE258,"Variação (%)",TRUE)</f>
        <v>-1.3158000000000001E-2</v>
      </c>
      <c r="BK258" s="49"/>
      <c r="BL258" s="49"/>
      <c r="BN258" s="32"/>
      <c r="BO258" s="20" cm="1">
        <f t="array" aca="1" ref="BO258" ca="1">_FV(EE258,"Baixo")</f>
        <v>1.49</v>
      </c>
      <c r="BP258" s="20" cm="1">
        <f t="array" aca="1" ref="BP258" ca="1">_FV(EE258,"Alto")</f>
        <v>1.52</v>
      </c>
      <c r="BQ258" s="32"/>
      <c r="BR258" s="74" t="e">
        <f ca="1">SQRT(22.5*(BG258/VLOOKUP(BH258,Fundamentus!A:U,3,FALSE))*(BG258/VLOOKUP(BH258,Fundamentus!A:U,4,FALSE)))</f>
        <v>#NUM!</v>
      </c>
      <c r="BT258" s="73">
        <f t="shared" ca="1" si="235"/>
        <v>-1.9607843137254919E-2</v>
      </c>
      <c r="BU258" s="36">
        <f t="shared" si="236"/>
        <v>-0.66098081023454158</v>
      </c>
      <c r="BV258" s="8"/>
      <c r="BW258" s="72">
        <f t="shared" si="237"/>
        <v>1.53</v>
      </c>
      <c r="BX258" s="72">
        <f t="shared" si="238"/>
        <v>2.5179310344827588</v>
      </c>
      <c r="BY258" s="72">
        <f t="shared" si="239"/>
        <v>4.6900000000000004</v>
      </c>
      <c r="BZ258" s="17"/>
      <c r="CA258" s="17"/>
      <c r="CB258" s="43">
        <f t="shared" si="240"/>
        <v>1.1501735009431941</v>
      </c>
      <c r="CC258" s="18">
        <f t="shared" si="241"/>
        <v>1.4011715089034169</v>
      </c>
      <c r="CD258" s="43">
        <f t="shared" si="242"/>
        <v>1.6521695168636397</v>
      </c>
      <c r="CE258" s="98">
        <f t="shared" ca="1" si="243"/>
        <v>0.39374213325328489</v>
      </c>
      <c r="CF258" s="17"/>
      <c r="CG258" s="20">
        <f t="shared" si="244"/>
        <v>-2.6833333333333336</v>
      </c>
      <c r="CH258" s="20">
        <f t="shared" si="245"/>
        <v>-0.57666666666666666</v>
      </c>
      <c r="CI258" s="20">
        <f t="shared" si="246"/>
        <v>0.47666666666666657</v>
      </c>
      <c r="CJ258" s="49">
        <f t="shared" si="247"/>
        <v>2.5833333333333335</v>
      </c>
      <c r="CK258" s="20">
        <f t="shared" si="248"/>
        <v>3.6366666666666667</v>
      </c>
      <c r="CL258" s="20">
        <f t="shared" si="249"/>
        <v>5.7433333333333341</v>
      </c>
      <c r="CM258" s="20">
        <f t="shared" si="250"/>
        <v>6.7966666666666669</v>
      </c>
      <c r="CN258" s="2" cm="1">
        <f t="array" aca="1" ref="CN258" ca="1">MAX(_xlfn._xlws.FILTER(CG258:CM258,CG258:CM258&lt;BG258))</f>
        <v>0.47666666666666657</v>
      </c>
      <c r="CO258" s="2" cm="1">
        <f t="array" aca="1" ref="CO258" ca="1">MIN(_xlfn._xlws.FILTER($CG258:$CM258,$CG258:$CM258&gt;BG258))</f>
        <v>2.5833333333333335</v>
      </c>
      <c r="CP258" s="19">
        <f t="shared" ca="1" si="277"/>
        <v>4.4195804195804209</v>
      </c>
      <c r="CQ258" s="23">
        <f t="shared" ca="1" si="278"/>
        <v>-2.2097902097902105</v>
      </c>
      <c r="CR258" s="23">
        <f t="shared" ca="1" si="279"/>
        <v>-1.4731934731934737</v>
      </c>
      <c r="CS258" s="23">
        <f t="shared" ca="1" si="280"/>
        <v>-0.88391608391608423</v>
      </c>
      <c r="CT258" s="23">
        <f t="shared" ca="1" si="281"/>
        <v>-0.49106449106449124</v>
      </c>
      <c r="CU258" s="23">
        <f t="shared" ca="1" si="282"/>
        <v>-0.25997531879884828</v>
      </c>
      <c r="CV258" s="23">
        <f t="shared" ca="1" si="283"/>
        <v>-0.13392667938122488</v>
      </c>
      <c r="CW258" s="23">
        <f t="shared" ca="1" si="284"/>
        <v>-6.7993544916621865E-2</v>
      </c>
      <c r="CX258" s="24">
        <f t="shared" ca="1" si="285"/>
        <v>6.7993544916621865E-2</v>
      </c>
      <c r="CY258" s="24">
        <f t="shared" ca="1" si="286"/>
        <v>0.13392667938122488</v>
      </c>
      <c r="CZ258" s="24">
        <f t="shared" ca="1" si="287"/>
        <v>0.25997531879884828</v>
      </c>
      <c r="DA258" s="24">
        <f t="shared" ca="1" si="288"/>
        <v>0.49106449106449124</v>
      </c>
      <c r="DB258" s="24">
        <f t="shared" ca="1" si="289"/>
        <v>0.88391608391608423</v>
      </c>
      <c r="DC258" s="24">
        <f t="shared" ca="1" si="290"/>
        <v>1.4731934731934737</v>
      </c>
      <c r="DD258" s="24">
        <f t="shared" ca="1" si="291"/>
        <v>2.2097902097902105</v>
      </c>
      <c r="DF258" s="19" cm="1">
        <f t="array" aca="1" ref="DF258" ca="1">MAX(_xlfn._xlws.FILTER(CQ258:DD258,CQ258:DD258&lt;BJ258))</f>
        <v>-6.7993544916621865E-2</v>
      </c>
      <c r="DG258" s="19" cm="1">
        <f t="array" aca="1" ref="DG258" ca="1">MIN(_xlfn._xlws.FILTER(CQ258:DD258,CQ258:DD258&gt;BJ258))</f>
        <v>6.7993544916621865E-2</v>
      </c>
      <c r="DH258" s="2" cm="1">
        <f t="array" aca="1" ref="DH258" ca="1">_FV(EE258,"Fechamento anterior",TRUE)</f>
        <v>1.52</v>
      </c>
      <c r="DI258" s="36">
        <f t="shared" ca="1" si="251"/>
        <v>0.40324158894070616</v>
      </c>
      <c r="DJ258" s="18">
        <f t="shared" ca="1" si="292"/>
        <v>1.4166498117267348</v>
      </c>
      <c r="DK258" s="18">
        <f t="shared" ca="1" si="293"/>
        <v>1.6233501882732653</v>
      </c>
      <c r="DL258" s="9"/>
      <c r="DM258" s="9"/>
      <c r="DN258" s="9"/>
      <c r="DO258" s="9"/>
      <c r="DP258" s="79">
        <v>4.5280013119209123E-2</v>
      </c>
      <c r="DQ258" s="79">
        <v>0.11423307231690474</v>
      </c>
      <c r="DR258" s="79">
        <v>0.1359870898332437</v>
      </c>
      <c r="DS258" s="79">
        <f t="shared" ca="1" si="252"/>
        <v>0.13598708983324373</v>
      </c>
      <c r="DT258" s="47"/>
      <c r="DU258" s="43">
        <f t="shared" si="253"/>
        <v>0.12549900398011135</v>
      </c>
      <c r="DV258" s="83">
        <f t="shared" ca="1" si="254"/>
        <v>1.4710999999999999</v>
      </c>
      <c r="DW258" s="83">
        <f t="shared" ca="1" si="255"/>
        <v>2.3608000000000002</v>
      </c>
      <c r="DX258" s="83">
        <f t="shared" ca="1" si="276"/>
        <v>-0.88970000000000038</v>
      </c>
      <c r="DY258" s="67"/>
      <c r="DZ258" s="67"/>
      <c r="EA258" s="85"/>
      <c r="EB258" s="44">
        <v>638100</v>
      </c>
      <c r="EC258" s="44" cm="1">
        <f t="array" aca="1" ref="EC258" ca="1">_FV(EE258,"Volume")</f>
        <v>698000</v>
      </c>
      <c r="EE258" s="2" t="e" vm="260">
        <v>#VALUE!</v>
      </c>
      <c r="EG258" s="10" cm="1">
        <f t="array" aca="1" ref="EG258" ca="1">_FV(EE258,"Ações em circulação",TRUE)</f>
        <v>1255007000</v>
      </c>
      <c r="EH258" s="21">
        <f>VLOOKUP(BH258,Fundamentus!A:U,5,FALSE)</f>
        <v>0.125</v>
      </c>
      <c r="EI258" s="2">
        <f t="shared" ca="1" si="256"/>
        <v>15060084000</v>
      </c>
      <c r="EJ258" s="20">
        <v>-1127518368.9120002</v>
      </c>
      <c r="EK258" s="20">
        <f t="shared" ca="1" si="257"/>
        <v>-1105410165.6000001</v>
      </c>
      <c r="EM258" s="40" t="str">
        <f>IF(VLOOKUP(BH258,Fundamentus!A:U,3,FALSE)&lt;15,"Bom",IF(VLOOKUP(BH258,Fundamentus!A:U,3,FALSE)&gt;15,"Ruim","n/a"))</f>
        <v>Bom</v>
      </c>
      <c r="EN258" s="36" t="str">
        <f>IF(VLOOKUP(BH258,Fundamentus!A:U,4,FALSE)&lt;1,"Baixo",IF(VLOOKUP(BH258,Fundamentus!A:U,4,FALSE)&lt;1.5,"Moderado",IF(VLOOKUP(BH258,Fundamentus!A:U,4,FALSE)&gt;1.5,"Alto","n/a")))</f>
        <v>Baixo</v>
      </c>
      <c r="EO258" s="20" t="str">
        <f>IF(VLOOKUP(BH258,Fundamentus!A:U,8,FALSE)&lt;0,"Risco elevado",IF(VLOOKUP(BH258,Fundamentus!A:U,8,FALSE)&lt;1,"Saudável",IF(VLOOKUP(BH258,Fundamentus!A:U,8,FALSE)&lt;3,"Estável",IF(VLOOKUP(BH258,Fundamentus!A:U,8,FALSE)&gt;3,"Alerta","n/a"))))</f>
        <v>Saudável</v>
      </c>
      <c r="EP258" s="36" t="str">
        <f t="shared" si="258"/>
        <v>Ruim</v>
      </c>
      <c r="EQ258" s="20" t="str">
        <f>IF(VLOOKUP(BH258,Fundamentus!A:U,12,FALSE)&lt;2,"Subvalorizada",IF(VLOOKUP(BH258,Fundamentus!A:U,12,FALSE)&lt;6,"Muita barata",IF(VLOOKUP(BH258,Fundamentus!A:U,12,FALSE)&lt;6,"Barata",IF(VLOOKUP(BH258,Fundamentus!A:U,12,FALSE)&lt;8,"Atrativa",IF(VLOOKUP(BH258,Fundamentus!A:U,12,FALSE)&gt;8,"Supervalorizada","n/a")))))</f>
        <v>Muita barata</v>
      </c>
      <c r="ES258" s="20" t="str">
        <f>IF(VLOOKUP(BH258,Fundamentus!A:U,17,FALSE)&lt;0.1,"Fraco retorno",IF(VLOOKUP(BH258,Fundamentus!A:U,17,FALSE)&gt;0.1,"Bom retorno","n/a"))</f>
        <v>Fraco retorno</v>
      </c>
      <c r="ET258" s="20" t="str">
        <f>IF(VLOOKUP(BH258,Fundamentus!A:U,16,FALSE)&lt;0.1,"Ineficiente",IF(VLOOKUP(BH258,Fundamentus!A:U,16,FALSE)&gt;0.1,"Eficiente","n/a"))</f>
        <v>Ineficiente</v>
      </c>
      <c r="EU258" s="41" t="str">
        <f>IF(VLOOKUP(BH258,Fundamentus!A:U,16,FALSE)&lt;0.1,"Oper. Ineficiente",IF(VLOOKUP(BH258,Fundamentus!A:U,16,FALSE)&gt;0.1,"Oper.Eficiente","n/a"))</f>
        <v>Oper. Ineficiente</v>
      </c>
      <c r="EV258" s="42">
        <f>VLOOKUP(BH258,Fundamentus!A:U,14,FALSE)</f>
        <v>-7.3400000000000007E-2</v>
      </c>
      <c r="EW258" s="20" t="str">
        <f>IF(VLOOKUP(BH258,Fundamentus!A:U,21,FALSE)&lt;0,"Negativo",IF(VLOOKUP(BH258,Fundamentus!A:U,21,FALSE)&lt;0.05,"Fraco",IF(VLOOKUP(BH258,Fundamentus!A:U,21,FALSE)&lt;0.1,"Bom",IF(VLOOKUP(BH258,Fundamentus!A:U,21,FALSE)&gt;0.1,"Muito bom","n/a"))))</f>
        <v>Muito bom</v>
      </c>
      <c r="EY258" s="37" t="str">
        <f>IF(VLOOKUP(BH258,Fundamentus!A:U,15,FALSE)&gt;1,"Bom",IF(VLOOKUP(BH258,Fundamentus!A:U,15,FALSE)&lt;1,"Ruim","n/a"))</f>
        <v>Bom</v>
      </c>
      <c r="EZ258" s="20" t="str">
        <f>IF(VLOOKUP(BH258,Fundamentus!A:U,20,FALSE)&lt;0.5,"Baixa",IF(VLOOKUP(BH258,Fundamentus!A:U,20,FALSE)&lt;1,"Moderada",IF(VLOOKUP(BH258,Fundamentus!A:U,20,FALSE)&lt;2,"Alerta",IF(VLOOKUP(BH258,Fundamentus!A:U,20,FALSE)&gt;2,"Alta","n/a"))))</f>
        <v>Alerta</v>
      </c>
    </row>
    <row r="259" spans="1:156" s="2" customFormat="1" ht="11.25" hidden="1" x14ac:dyDescent="0.2">
      <c r="A259" s="4">
        <v>5.7</v>
      </c>
      <c r="B259" s="4">
        <v>5.86</v>
      </c>
      <c r="C259" s="4">
        <v>5.28</v>
      </c>
      <c r="D259" s="4">
        <v>5.28</v>
      </c>
      <c r="E259" s="4">
        <v>5.01</v>
      </c>
      <c r="F259" s="4">
        <v>5.25</v>
      </c>
      <c r="G259" s="4">
        <v>5.19</v>
      </c>
      <c r="H259" s="4">
        <v>5.3</v>
      </c>
      <c r="I259" s="4">
        <v>5.34</v>
      </c>
      <c r="J259" s="4">
        <v>5.38</v>
      </c>
      <c r="K259" s="4">
        <v>5.04</v>
      </c>
      <c r="L259" s="4">
        <v>4.45</v>
      </c>
      <c r="M259" s="4">
        <v>4.0999999999999996</v>
      </c>
      <c r="N259" s="4">
        <v>3.81</v>
      </c>
      <c r="O259" s="4">
        <v>3.63</v>
      </c>
      <c r="P259" s="4">
        <v>3.89</v>
      </c>
      <c r="Q259" s="4">
        <v>4</v>
      </c>
      <c r="R259" s="4">
        <v>3.83</v>
      </c>
      <c r="S259" s="4">
        <v>3.82</v>
      </c>
      <c r="T259" s="4">
        <v>4</v>
      </c>
      <c r="U259" s="4">
        <v>3.17</v>
      </c>
      <c r="V259" s="4">
        <v>3.1</v>
      </c>
      <c r="W259" s="4">
        <v>3.29</v>
      </c>
      <c r="X259" s="4">
        <v>2.97</v>
      </c>
      <c r="Y259" s="4">
        <v>3.03</v>
      </c>
      <c r="Z259" s="4">
        <v>2.87</v>
      </c>
      <c r="AA259" s="4">
        <v>2.91</v>
      </c>
      <c r="AB259" s="4">
        <v>3.26</v>
      </c>
      <c r="AC259" s="4">
        <v>3.2</v>
      </c>
      <c r="AD259" s="4">
        <v>3.14</v>
      </c>
      <c r="AE259" s="4">
        <v>3.04</v>
      </c>
      <c r="AF259" s="4">
        <v>3.13</v>
      </c>
      <c r="AG259" s="4">
        <v>2.4500000000000002</v>
      </c>
      <c r="AH259" s="4">
        <v>2.4500000000000002</v>
      </c>
      <c r="AI259" s="4">
        <v>2.46</v>
      </c>
      <c r="AJ259" s="4">
        <v>2.9</v>
      </c>
      <c r="AK259" s="4">
        <v>2.84</v>
      </c>
      <c r="AL259" s="4">
        <v>2.86</v>
      </c>
      <c r="AM259" s="4">
        <v>2.88</v>
      </c>
      <c r="AN259" s="4">
        <v>2.98</v>
      </c>
      <c r="AO259" s="4">
        <v>2.95</v>
      </c>
      <c r="AP259" s="4">
        <v>3.13</v>
      </c>
      <c r="AQ259" s="4">
        <v>3.07</v>
      </c>
      <c r="AR259" s="4">
        <v>3</v>
      </c>
      <c r="AS259" s="4">
        <v>2.77</v>
      </c>
      <c r="AT259" s="4">
        <v>2.92</v>
      </c>
      <c r="AU259" s="4">
        <v>2.9550000000000001</v>
      </c>
      <c r="AV259" s="4">
        <v>2.93</v>
      </c>
      <c r="AW259" s="4">
        <v>2.87</v>
      </c>
      <c r="AX259" s="4">
        <v>2.42</v>
      </c>
      <c r="AY259" s="12">
        <v>2.1800000000000002</v>
      </c>
      <c r="AZ259" s="12">
        <v>2.19</v>
      </c>
      <c r="BA259" s="12">
        <v>2.0499999999999998</v>
      </c>
      <c r="BB259" s="18">
        <v>2.17</v>
      </c>
      <c r="BC259" s="63">
        <v>1.97</v>
      </c>
      <c r="BD259" s="63">
        <v>1.92</v>
      </c>
      <c r="BE259" s="63">
        <v>1.86</v>
      </c>
      <c r="BF259" s="63">
        <v>1.97</v>
      </c>
      <c r="BG259" s="91" cm="1">
        <f t="array" aca="1" ref="BG259" ca="1">_FV(EE259,"Preço")</f>
        <v>2.14</v>
      </c>
      <c r="BH259" s="93" t="s">
        <v>256</v>
      </c>
      <c r="BI259" s="32" cm="1">
        <f t="array" aca="1" ref="BI259" ca="1">_FV(EE259,"Beta")</f>
        <v>0.73440000000000005</v>
      </c>
      <c r="BJ259" s="96" cm="1">
        <f t="array" aca="1" ref="BJ259" ca="1">_FV(EE259,"Variação (%)",TRUE)</f>
        <v>0</v>
      </c>
      <c r="BK259" s="49"/>
      <c r="BL259" s="49"/>
      <c r="BN259" s="32"/>
      <c r="BO259" s="20" cm="1">
        <f t="array" aca="1" ref="BO259" ca="1">_FV(EE259,"Baixo")</f>
        <v>2.09</v>
      </c>
      <c r="BP259" s="20" cm="1">
        <f t="array" aca="1" ref="BP259" ca="1">_FV(EE259,"Alto")</f>
        <v>2.15</v>
      </c>
      <c r="BQ259" s="32"/>
      <c r="BR259" s="74" t="e">
        <f ca="1">SQRT(22.5*(BG259/VLOOKUP(BH259,Fundamentus!A:U,3,FALSE))*(BG259/VLOOKUP(BH259,Fundamentus!A:U,4,FALSE)))</f>
        <v>#NUM!</v>
      </c>
      <c r="BT259" s="73">
        <f t="shared" ca="1" si="235"/>
        <v>8.6294416243654901E-2</v>
      </c>
      <c r="BU259" s="36">
        <f t="shared" si="236"/>
        <v>-0.67368421052631577</v>
      </c>
      <c r="BV259" s="8"/>
      <c r="BW259" s="72">
        <f t="shared" si="237"/>
        <v>1.86</v>
      </c>
      <c r="BX259" s="72">
        <f t="shared" si="238"/>
        <v>3.4209482758620684</v>
      </c>
      <c r="BY259" s="72">
        <f t="shared" si="239"/>
        <v>5.86</v>
      </c>
      <c r="BZ259" s="17"/>
      <c r="CA259" s="17"/>
      <c r="CB259" s="43">
        <f t="shared" si="240"/>
        <v>1.8228107221893861</v>
      </c>
      <c r="CC259" s="18">
        <f t="shared" si="241"/>
        <v>1.9133645735707603</v>
      </c>
      <c r="CD259" s="43">
        <f t="shared" si="242"/>
        <v>2.0039184249521345</v>
      </c>
      <c r="CE259" s="98">
        <f t="shared" ca="1" si="243"/>
        <v>2.5027696003204563</v>
      </c>
      <c r="CF259" s="17"/>
      <c r="CG259" s="20">
        <f t="shared" si="244"/>
        <v>-3.3999999999999995</v>
      </c>
      <c r="CH259" s="20">
        <f t="shared" si="245"/>
        <v>-0.76999999999999957</v>
      </c>
      <c r="CI259" s="20">
        <f t="shared" si="246"/>
        <v>0.60000000000000053</v>
      </c>
      <c r="CJ259" s="49">
        <f t="shared" si="247"/>
        <v>3.2300000000000004</v>
      </c>
      <c r="CK259" s="20">
        <f t="shared" si="248"/>
        <v>4.6000000000000005</v>
      </c>
      <c r="CL259" s="20">
        <f t="shared" si="249"/>
        <v>7.23</v>
      </c>
      <c r="CM259" s="20">
        <f t="shared" si="250"/>
        <v>8.6000000000000014</v>
      </c>
      <c r="CN259" s="2" cm="1">
        <f t="array" aca="1" ref="CN259" ca="1">MAX(_xlfn._xlws.FILTER(CG259:CM259,CG259:CM259&lt;BG259))</f>
        <v>0.60000000000000053</v>
      </c>
      <c r="CO259" s="2" cm="1">
        <f t="array" aca="1" ref="CO259" ca="1">MIN(_xlfn._xlws.FILTER($CG259:$CM259,$CG259:$CM259&gt;BG259))</f>
        <v>3.2300000000000004</v>
      </c>
      <c r="CP259" s="19">
        <f t="shared" ca="1" si="277"/>
        <v>4.3833333333333293</v>
      </c>
      <c r="CQ259" s="23">
        <f t="shared" ca="1" si="278"/>
        <v>-2.1916666666666647</v>
      </c>
      <c r="CR259" s="23">
        <f t="shared" ca="1" si="279"/>
        <v>-1.4611111111111097</v>
      </c>
      <c r="CS259" s="23">
        <f t="shared" ca="1" si="280"/>
        <v>-0.87666666666666582</v>
      </c>
      <c r="CT259" s="23">
        <f t="shared" ca="1" si="281"/>
        <v>-0.4870370370370366</v>
      </c>
      <c r="CU259" s="23">
        <f t="shared" ca="1" si="282"/>
        <v>-0.25784313725490171</v>
      </c>
      <c r="CV259" s="23">
        <f t="shared" ca="1" si="283"/>
        <v>-0.13282828282828271</v>
      </c>
      <c r="CW259" s="23">
        <f t="shared" ca="1" si="284"/>
        <v>-6.7435897435897368E-2</v>
      </c>
      <c r="CX259" s="24">
        <f t="shared" ca="1" si="285"/>
        <v>6.7435897435897368E-2</v>
      </c>
      <c r="CY259" s="24">
        <f t="shared" ca="1" si="286"/>
        <v>0.13282828282828271</v>
      </c>
      <c r="CZ259" s="24">
        <f t="shared" ca="1" si="287"/>
        <v>0.25784313725490171</v>
      </c>
      <c r="DA259" s="24">
        <f t="shared" ca="1" si="288"/>
        <v>0.4870370370370366</v>
      </c>
      <c r="DB259" s="24">
        <f t="shared" ca="1" si="289"/>
        <v>0.87666666666666582</v>
      </c>
      <c r="DC259" s="24">
        <f t="shared" ca="1" si="290"/>
        <v>1.4611111111111097</v>
      </c>
      <c r="DD259" s="24">
        <f t="shared" ca="1" si="291"/>
        <v>2.1916666666666647</v>
      </c>
      <c r="DF259" s="19" cm="1">
        <f t="array" aca="1" ref="DF259" ca="1">MAX(_xlfn._xlws.FILTER(CQ259:DD259,CQ259:DD259&lt;BJ259))</f>
        <v>-6.7435897435897368E-2</v>
      </c>
      <c r="DG259" s="19" cm="1">
        <f t="array" aca="1" ref="DG259" ca="1">MIN(_xlfn._xlws.FILTER(CQ259:DD259,CQ259:DD259&gt;BJ259))</f>
        <v>6.7435897435897368E-2</v>
      </c>
      <c r="DH259" s="2" cm="1">
        <f t="array" aca="1" ref="DH259" ca="1">_FV(EE259,"Fechamento anterior",TRUE)</f>
        <v>2.14</v>
      </c>
      <c r="DI259" s="36">
        <f t="shared" ca="1" si="251"/>
        <v>0.49999999999999961</v>
      </c>
      <c r="DJ259" s="18">
        <f t="shared" ca="1" si="292"/>
        <v>1.9956871794871798</v>
      </c>
      <c r="DK259" s="18">
        <f t="shared" ca="1" si="293"/>
        <v>2.2843128205128207</v>
      </c>
      <c r="DL259" s="9"/>
      <c r="DM259" s="9"/>
      <c r="DN259" s="9"/>
      <c r="DO259" s="9"/>
      <c r="DP259" s="79">
        <v>0.12605459057071963</v>
      </c>
      <c r="DQ259" s="79">
        <v>0.16988082340195007</v>
      </c>
      <c r="DR259" s="79">
        <v>0.16988082340195007</v>
      </c>
      <c r="DS259" s="79">
        <f t="shared" ca="1" si="252"/>
        <v>0.13487179487179474</v>
      </c>
      <c r="DT259" s="47"/>
      <c r="DU259" s="43">
        <f t="shared" si="253"/>
        <v>4.5276925690687038E-2</v>
      </c>
      <c r="DV259" s="83">
        <f t="shared" ca="1" si="254"/>
        <v>1.1605000000000001</v>
      </c>
      <c r="DW259" s="83">
        <f t="shared" ca="1" si="255"/>
        <v>0.73440000000000005</v>
      </c>
      <c r="DX259" s="83">
        <f t="shared" ca="1" si="276"/>
        <v>0.42610000000000003</v>
      </c>
      <c r="DY259" s="67"/>
      <c r="DZ259" s="67"/>
      <c r="EA259" s="85"/>
      <c r="EB259" s="44">
        <v>39500</v>
      </c>
      <c r="EC259" s="44" cm="1">
        <f t="array" aca="1" ref="EC259" ca="1">_FV(EE259,"Volume")</f>
        <v>10300</v>
      </c>
      <c r="EE259" s="2" t="e" vm="261">
        <v>#VALUE!</v>
      </c>
      <c r="EG259" s="10" cm="1">
        <f t="array" aca="1" ref="EG259" ca="1">_FV(EE259,"Ações em circulação",TRUE)</f>
        <v>20000000</v>
      </c>
      <c r="EH259" s="21">
        <f>VLOOKUP(BH259,Fundamentus!A:U,5,FALSE)</f>
        <v>0.45800000000000002</v>
      </c>
      <c r="EI259" s="2">
        <f t="shared" ca="1" si="256"/>
        <v>93449781.659388646</v>
      </c>
      <c r="EJ259" s="20">
        <v>282570262.00873357</v>
      </c>
      <c r="EK259" s="20">
        <f t="shared" ca="1" si="257"/>
        <v>306954497.81659389</v>
      </c>
      <c r="EM259" s="40" t="str">
        <f>IF(VLOOKUP(BH259,Fundamentus!A:U,3,FALSE)&lt;15,"Bom",IF(VLOOKUP(BH259,Fundamentus!A:U,3,FALSE)&gt;15,"Ruim","n/a"))</f>
        <v>Bom</v>
      </c>
      <c r="EN259" s="36" t="str">
        <f>IF(VLOOKUP(BH259,Fundamentus!A:U,4,FALSE)&lt;1,"Baixo",IF(VLOOKUP(BH259,Fundamentus!A:U,4,FALSE)&lt;1.5,"Moderado",IF(VLOOKUP(BH259,Fundamentus!A:U,4,FALSE)&gt;1.5,"Alto","n/a")))</f>
        <v>Baixo</v>
      </c>
      <c r="EO259" s="20" t="str">
        <f>IF(VLOOKUP(BH259,Fundamentus!A:U,8,FALSE)&lt;0,"Risco elevado",IF(VLOOKUP(BH259,Fundamentus!A:U,8,FALSE)&lt;1,"Saudável",IF(VLOOKUP(BH259,Fundamentus!A:U,8,FALSE)&lt;3,"Estável",IF(VLOOKUP(BH259,Fundamentus!A:U,8,FALSE)&gt;3,"Alerta","n/a"))))</f>
        <v>Risco elevado</v>
      </c>
      <c r="EP259" s="36" t="str">
        <f t="shared" si="258"/>
        <v>Ruim</v>
      </c>
      <c r="EQ259" s="20" t="str">
        <f>IF(VLOOKUP(BH259,Fundamentus!A:U,12,FALSE)&lt;2,"Subvalorizada",IF(VLOOKUP(BH259,Fundamentus!A:U,12,FALSE)&lt;6,"Muita barata",IF(VLOOKUP(BH259,Fundamentus!A:U,12,FALSE)&lt;6,"Barata",IF(VLOOKUP(BH259,Fundamentus!A:U,12,FALSE)&lt;8,"Atrativa",IF(VLOOKUP(BH259,Fundamentus!A:U,12,FALSE)&gt;8,"Supervalorizada","n/a")))))</f>
        <v>Subvalorizada</v>
      </c>
      <c r="ES259" s="20" t="str">
        <f>IF(VLOOKUP(BH259,Fundamentus!A:U,17,FALSE)&lt;0.1,"Fraco retorno",IF(VLOOKUP(BH259,Fundamentus!A:U,17,FALSE)&gt;0.1,"Bom retorno","n/a"))</f>
        <v>Fraco retorno</v>
      </c>
      <c r="ET259" s="20" t="str">
        <f>IF(VLOOKUP(BH259,Fundamentus!A:U,16,FALSE)&lt;0.1,"Ineficiente",IF(VLOOKUP(BH259,Fundamentus!A:U,16,FALSE)&gt;0.1,"Eficiente","n/a"))</f>
        <v>Ineficiente</v>
      </c>
      <c r="EU259" s="41" t="str">
        <f>IF(VLOOKUP(BH259,Fundamentus!A:U,16,FALSE)&lt;0.1,"Oper. Ineficiente",IF(VLOOKUP(BH259,Fundamentus!A:U,16,FALSE)&gt;0.1,"Oper.Eficiente","n/a"))</f>
        <v>Oper. Ineficiente</v>
      </c>
      <c r="EV259" s="42">
        <f>VLOOKUP(BH259,Fundamentus!A:U,14,FALSE)</f>
        <v>3.2847</v>
      </c>
      <c r="EW259" s="20" t="str">
        <f>IF(VLOOKUP(BH259,Fundamentus!A:U,21,FALSE)&lt;0,"Negativo",IF(VLOOKUP(BH259,Fundamentus!A:U,21,FALSE)&lt;0.05,"Fraco",IF(VLOOKUP(BH259,Fundamentus!A:U,21,FALSE)&lt;0.1,"Bom",IF(VLOOKUP(BH259,Fundamentus!A:U,21,FALSE)&gt;0.1,"Muito bom","n/a"))))</f>
        <v>Fraco</v>
      </c>
      <c r="EY259" s="37" t="str">
        <f>IF(VLOOKUP(BH259,Fundamentus!A:U,15,FALSE)&gt;1,"Bom",IF(VLOOKUP(BH259,Fundamentus!A:U,15,FALSE)&lt;1,"Ruim","n/a"))</f>
        <v>Ruim</v>
      </c>
      <c r="EZ259" s="20" t="str">
        <f>IF(VLOOKUP(BH259,Fundamentus!A:U,20,FALSE)&lt;0.5,"Baixa",IF(VLOOKUP(BH259,Fundamentus!A:U,20,FALSE)&lt;1,"Moderada",IF(VLOOKUP(BH259,Fundamentus!A:U,20,FALSE)&lt;2,"Alerta",IF(VLOOKUP(BH259,Fundamentus!A:U,20,FALSE)&gt;2,"Alta","n/a"))))</f>
        <v>Baixa</v>
      </c>
    </row>
    <row r="260" spans="1:156" s="2" customFormat="1" ht="11.25" hidden="1" x14ac:dyDescent="0.2">
      <c r="A260" s="4">
        <v>2.44</v>
      </c>
      <c r="B260" s="4">
        <v>2.64</v>
      </c>
      <c r="C260" s="4">
        <v>2.42</v>
      </c>
      <c r="D260" s="4">
        <v>2.27</v>
      </c>
      <c r="E260" s="4">
        <v>2.16</v>
      </c>
      <c r="F260" s="4">
        <v>2.1</v>
      </c>
      <c r="G260" s="4">
        <v>2.02</v>
      </c>
      <c r="H260" s="4">
        <v>2</v>
      </c>
      <c r="I260" s="4">
        <v>1.95</v>
      </c>
      <c r="J260" s="4">
        <v>2.09</v>
      </c>
      <c r="K260" s="4">
        <v>2.31</v>
      </c>
      <c r="L260" s="4">
        <v>2.14</v>
      </c>
      <c r="M260" s="4">
        <v>2.21</v>
      </c>
      <c r="N260" s="4">
        <v>2.0699999999999998</v>
      </c>
      <c r="O260" s="4">
        <v>2.09</v>
      </c>
      <c r="P260" s="4">
        <v>1.98</v>
      </c>
      <c r="Q260" s="4">
        <v>1.99</v>
      </c>
      <c r="R260" s="4">
        <v>1.96</v>
      </c>
      <c r="S260" s="4">
        <v>1.95</v>
      </c>
      <c r="T260" s="4">
        <v>1.93</v>
      </c>
      <c r="U260" s="4">
        <v>1.84</v>
      </c>
      <c r="V260" s="4">
        <v>1.9</v>
      </c>
      <c r="W260" s="4">
        <v>1.76</v>
      </c>
      <c r="X260" s="4">
        <v>1.71</v>
      </c>
      <c r="Y260" s="4">
        <v>1.48</v>
      </c>
      <c r="Z260" s="4">
        <v>1.4</v>
      </c>
      <c r="AA260" s="4">
        <v>1.34</v>
      </c>
      <c r="AB260" s="4">
        <v>1.38</v>
      </c>
      <c r="AC260" s="4">
        <v>1.35</v>
      </c>
      <c r="AD260" s="4">
        <v>1.38</v>
      </c>
      <c r="AE260" s="4">
        <v>1.37</v>
      </c>
      <c r="AF260" s="4">
        <v>1.33</v>
      </c>
      <c r="AG260" s="4">
        <v>1.34</v>
      </c>
      <c r="AH260" s="4">
        <v>1.33</v>
      </c>
      <c r="AI260" s="4">
        <v>1.31</v>
      </c>
      <c r="AJ260" s="4">
        <v>1.26</v>
      </c>
      <c r="AK260" s="4">
        <v>1.43</v>
      </c>
      <c r="AL260" s="4">
        <v>1.48</v>
      </c>
      <c r="AM260" s="4">
        <v>1.46</v>
      </c>
      <c r="AN260" s="4">
        <v>1.54</v>
      </c>
      <c r="AO260" s="4">
        <v>1.49</v>
      </c>
      <c r="AP260" s="4">
        <v>1.5</v>
      </c>
      <c r="AQ260" s="4">
        <v>1.54</v>
      </c>
      <c r="AR260" s="4">
        <v>1.35</v>
      </c>
      <c r="AS260" s="4">
        <v>1.41</v>
      </c>
      <c r="AT260" s="4">
        <v>1.44</v>
      </c>
      <c r="AU260" s="4">
        <v>1.42</v>
      </c>
      <c r="AV260" s="4">
        <v>1.46</v>
      </c>
      <c r="AW260" s="4">
        <v>1.56</v>
      </c>
      <c r="AX260" s="4">
        <v>1.4</v>
      </c>
      <c r="AY260" s="12">
        <v>1.4</v>
      </c>
      <c r="AZ260" s="12">
        <v>1.37</v>
      </c>
      <c r="BA260" s="12">
        <v>1.3</v>
      </c>
      <c r="BB260" s="18">
        <v>1.29</v>
      </c>
      <c r="BC260" s="63">
        <v>1.26</v>
      </c>
      <c r="BD260" s="63">
        <v>1.25</v>
      </c>
      <c r="BE260" s="63">
        <v>1.2</v>
      </c>
      <c r="BF260" s="63">
        <v>1.19</v>
      </c>
      <c r="BG260" s="91" cm="1">
        <f t="array" aca="1" ref="BG260" ca="1">_FV(EE260,"Preço")</f>
        <v>1.18</v>
      </c>
      <c r="BH260" s="93" t="s">
        <v>257</v>
      </c>
      <c r="BI260" s="32" cm="1">
        <f t="array" aca="1" ref="BI260" ca="1">_FV(EE260,"Beta")</f>
        <v>1.5435000000000001</v>
      </c>
      <c r="BJ260" s="96" cm="1">
        <f t="array" aca="1" ref="BJ260" ca="1">_FV(EE260,"Variação (%)",TRUE)</f>
        <v>-8.4030000000000007E-3</v>
      </c>
      <c r="BK260" s="49"/>
      <c r="BL260" s="49"/>
      <c r="BN260" s="32"/>
      <c r="BO260" s="20" cm="1">
        <f t="array" aca="1" ref="BO260" ca="1">_FV(EE260,"Baixo")</f>
        <v>1.1599999999999999</v>
      </c>
      <c r="BP260" s="20" cm="1">
        <f t="array" aca="1" ref="BP260" ca="1">_FV(EE260,"Alto")</f>
        <v>1.19</v>
      </c>
      <c r="BQ260" s="32"/>
      <c r="BR260" s="74" t="e">
        <f ca="1">SQRT(22.5*(BG260/VLOOKUP(BH260,Fundamentus!A:U,3,FALSE))*(BG260/VLOOKUP(BH260,Fundamentus!A:U,4,FALSE)))</f>
        <v>#NUM!</v>
      </c>
      <c r="BT260" s="73">
        <f t="shared" ca="1" si="235"/>
        <v>-8.4033613445378234E-3</v>
      </c>
      <c r="BU260" s="36">
        <f t="shared" si="236"/>
        <v>-0.50819672131147542</v>
      </c>
      <c r="BV260" s="8"/>
      <c r="BW260" s="72">
        <f t="shared" si="237"/>
        <v>1.19</v>
      </c>
      <c r="BX260" s="72">
        <f t="shared" si="238"/>
        <v>1.671379310344828</v>
      </c>
      <c r="BY260" s="72">
        <f t="shared" si="239"/>
        <v>2.64</v>
      </c>
      <c r="BZ260" s="17"/>
      <c r="CA260" s="17"/>
      <c r="CB260" s="43">
        <f t="shared" si="240"/>
        <v>1.1012904627945039</v>
      </c>
      <c r="CC260" s="18">
        <f t="shared" si="241"/>
        <v>1.1621180880974862</v>
      </c>
      <c r="CD260" s="43">
        <f t="shared" si="242"/>
        <v>1.2229457134004684</v>
      </c>
      <c r="CE260" s="98">
        <f t="shared" ca="1" si="243"/>
        <v>0.29397682078568743</v>
      </c>
      <c r="CF260" s="17"/>
      <c r="CG260" s="20">
        <f t="shared" si="244"/>
        <v>-0.74333333333333407</v>
      </c>
      <c r="CH260" s="20">
        <f t="shared" si="245"/>
        <v>0.22333333333333294</v>
      </c>
      <c r="CI260" s="20">
        <f t="shared" si="246"/>
        <v>0.70666666666666611</v>
      </c>
      <c r="CJ260" s="49">
        <f t="shared" si="247"/>
        <v>1.6733333333333331</v>
      </c>
      <c r="CK260" s="20">
        <f t="shared" si="248"/>
        <v>2.1566666666666663</v>
      </c>
      <c r="CL260" s="20">
        <f t="shared" si="249"/>
        <v>3.1233333333333331</v>
      </c>
      <c r="CM260" s="20">
        <f t="shared" si="250"/>
        <v>3.6066666666666665</v>
      </c>
      <c r="CN260" s="2" cm="1">
        <f t="array" aca="1" ref="CN260" ca="1">MAX(_xlfn._xlws.FILTER(CG260:CM260,CG260:CM260&lt;BG260))</f>
        <v>0.70666666666666611</v>
      </c>
      <c r="CO260" s="2" cm="1">
        <f t="array" aca="1" ref="CO260" ca="1">MIN(_xlfn._xlws.FILTER($CG260:$CM260,$CG260:$CM260&gt;BG260))</f>
        <v>1.6733333333333331</v>
      </c>
      <c r="CP260" s="19">
        <f t="shared" ca="1" si="277"/>
        <v>1.3679245283018884</v>
      </c>
      <c r="CQ260" s="23">
        <f t="shared" ca="1" si="278"/>
        <v>-0.68396226415094419</v>
      </c>
      <c r="CR260" s="23">
        <f t="shared" ca="1" si="279"/>
        <v>-0.45597484276729611</v>
      </c>
      <c r="CS260" s="23">
        <f t="shared" ca="1" si="280"/>
        <v>-0.27358490566037769</v>
      </c>
      <c r="CT260" s="23">
        <f t="shared" ca="1" si="281"/>
        <v>-0.15199161425576538</v>
      </c>
      <c r="CU260" s="23">
        <f t="shared" ca="1" si="282"/>
        <v>-8.0466148723640496E-2</v>
      </c>
      <c r="CV260" s="23">
        <f t="shared" ca="1" si="283"/>
        <v>-4.1452258433390558E-2</v>
      </c>
      <c r="CW260" s="23">
        <f t="shared" ca="1" si="284"/>
        <v>-2.1044992743105975E-2</v>
      </c>
      <c r="CX260" s="24">
        <f t="shared" ca="1" si="285"/>
        <v>2.1044992743105975E-2</v>
      </c>
      <c r="CY260" s="24">
        <f t="shared" ca="1" si="286"/>
        <v>4.1452258433390558E-2</v>
      </c>
      <c r="CZ260" s="24">
        <f t="shared" ca="1" si="287"/>
        <v>8.0466148723640496E-2</v>
      </c>
      <c r="DA260" s="24">
        <f t="shared" ca="1" si="288"/>
        <v>0.15199161425576538</v>
      </c>
      <c r="DB260" s="24">
        <f t="shared" ca="1" si="289"/>
        <v>0.27358490566037769</v>
      </c>
      <c r="DC260" s="24">
        <f t="shared" ca="1" si="290"/>
        <v>0.45597484276729611</v>
      </c>
      <c r="DD260" s="24">
        <f t="shared" ca="1" si="291"/>
        <v>0.68396226415094419</v>
      </c>
      <c r="DF260" s="19" cm="1">
        <f t="array" aca="1" ref="DF260" ca="1">MAX(_xlfn._xlws.FILTER(CQ260:DD260,CQ260:DD260&lt;BJ260))</f>
        <v>-2.1044992743105975E-2</v>
      </c>
      <c r="DG260" s="19" cm="1">
        <f t="array" aca="1" ref="DG260" ca="1">MIN(_xlfn._xlws.FILTER(CQ260:DD260,CQ260:DD260&gt;BJ260))</f>
        <v>2.1044992743105975E-2</v>
      </c>
      <c r="DH260" s="2" cm="1">
        <f t="array" aca="1" ref="DH260" ca="1">_FV(EE260,"Fechamento anterior",TRUE)</f>
        <v>1.19</v>
      </c>
      <c r="DI260" s="36">
        <f t="shared" ca="1" si="251"/>
        <v>0.3003477252970162</v>
      </c>
      <c r="DJ260" s="18">
        <f t="shared" ref="DJ260:DJ270" ca="1" si="294">DH260+(DH260*DF260)</f>
        <v>1.1649564586357037</v>
      </c>
      <c r="DK260" s="18">
        <f t="shared" ref="DK260:DK270" ca="1" si="295">DH260+(DH260*DG260)</f>
        <v>1.2150435413642962</v>
      </c>
      <c r="DL260" s="9"/>
      <c r="DM260" s="9"/>
      <c r="DN260" s="9"/>
      <c r="DO260" s="9"/>
      <c r="DP260" s="79">
        <v>3.5804195804195818E-2</v>
      </c>
      <c r="DQ260" s="79">
        <v>4.2072213500784938E-2</v>
      </c>
      <c r="DR260" s="79">
        <v>4.3269230769230782E-2</v>
      </c>
      <c r="DS260" s="79">
        <f t="shared" ca="1" si="252"/>
        <v>4.2089985486211949E-2</v>
      </c>
      <c r="DT260" s="47"/>
      <c r="DU260" s="43">
        <f t="shared" si="253"/>
        <v>3.0413812651491123E-2</v>
      </c>
      <c r="DV260" s="83">
        <f t="shared" ca="1" si="254"/>
        <v>1.9696</v>
      </c>
      <c r="DW260" s="83">
        <f t="shared" ca="1" si="255"/>
        <v>2.3837999999999999</v>
      </c>
      <c r="DX260" s="83">
        <f t="shared" ca="1" si="276"/>
        <v>-0.4141999999999999</v>
      </c>
      <c r="DY260" s="67"/>
      <c r="DZ260" s="67"/>
      <c r="EA260" s="85"/>
      <c r="EB260" s="44">
        <v>25800</v>
      </c>
      <c r="EC260" s="44" cm="1">
        <f t="array" aca="1" ref="EC260" ca="1">_FV(EE260,"Volume")</f>
        <v>162000</v>
      </c>
      <c r="EE260" s="2" t="e" vm="262">
        <v>#VALUE!</v>
      </c>
      <c r="EG260" s="10" cm="1">
        <f t="array" aca="1" ref="EG260" ca="1">_FV(EE260,"Ações em circulação",TRUE)</f>
        <v>90511120</v>
      </c>
      <c r="EH260" s="21">
        <f>VLOOKUP(BH260,Fundamentus!A:U,5,FALSE)</f>
        <v>0.20499999999999999</v>
      </c>
      <c r="EI260" s="2">
        <f t="shared" ca="1" si="256"/>
        <v>520990837.07317072</v>
      </c>
      <c r="EJ260" s="20">
        <v>-169285817.60078049</v>
      </c>
      <c r="EK260" s="20">
        <f t="shared" ca="1" si="257"/>
        <v>-167863247.70497561</v>
      </c>
      <c r="EM260" s="40" t="str">
        <f>IF(VLOOKUP(BH260,Fundamentus!A:U,3,FALSE)&lt;15,"Bom",IF(VLOOKUP(BH260,Fundamentus!A:U,3,FALSE)&gt;15,"Ruim","n/a"))</f>
        <v>Bom</v>
      </c>
      <c r="EN260" s="36" t="str">
        <f>IF(VLOOKUP(BH260,Fundamentus!A:U,4,FALSE)&lt;1,"Baixo",IF(VLOOKUP(BH260,Fundamentus!A:U,4,FALSE)&lt;1.5,"Moderado",IF(VLOOKUP(BH260,Fundamentus!A:U,4,FALSE)&gt;1.5,"Alto","n/a")))</f>
        <v>Baixo</v>
      </c>
      <c r="EO260" s="20" t="str">
        <f>IF(VLOOKUP(BH260,Fundamentus!A:U,8,FALSE)&lt;0,"Risco elevado",IF(VLOOKUP(BH260,Fundamentus!A:U,8,FALSE)&lt;1,"Saudável",IF(VLOOKUP(BH260,Fundamentus!A:U,8,FALSE)&lt;3,"Estável",IF(VLOOKUP(BH260,Fundamentus!A:U,8,FALSE)&gt;3,"Alerta","n/a"))))</f>
        <v>Estável</v>
      </c>
      <c r="EP260" s="36" t="str">
        <f t="shared" si="258"/>
        <v>Ruim</v>
      </c>
      <c r="EQ260" s="20" t="str">
        <f>IF(VLOOKUP(BH260,Fundamentus!A:U,12,FALSE)&lt;2,"Subvalorizada",IF(VLOOKUP(BH260,Fundamentus!A:U,12,FALSE)&lt;6,"Muita barata",IF(VLOOKUP(BH260,Fundamentus!A:U,12,FALSE)&lt;6,"Barata",IF(VLOOKUP(BH260,Fundamentus!A:U,12,FALSE)&lt;8,"Atrativa",IF(VLOOKUP(BH260,Fundamentus!A:U,12,FALSE)&gt;8,"Supervalorizada","n/a")))))</f>
        <v>Subvalorizada</v>
      </c>
      <c r="ES260" s="20" t="str">
        <f>IF(VLOOKUP(BH260,Fundamentus!A:U,17,FALSE)&lt;0.1,"Fraco retorno",IF(VLOOKUP(BH260,Fundamentus!A:U,17,FALSE)&gt;0.1,"Bom retorno","n/a"))</f>
        <v>Fraco retorno</v>
      </c>
      <c r="ET260" s="20" t="str">
        <f>IF(VLOOKUP(BH260,Fundamentus!A:U,16,FALSE)&lt;0.1,"Ineficiente",IF(VLOOKUP(BH260,Fundamentus!A:U,16,FALSE)&gt;0.1,"Eficiente","n/a"))</f>
        <v>Ineficiente</v>
      </c>
      <c r="EU260" s="41" t="str">
        <f>IF(VLOOKUP(BH260,Fundamentus!A:U,16,FALSE)&lt;0.1,"Oper. Ineficiente",IF(VLOOKUP(BH260,Fundamentus!A:U,16,FALSE)&gt;0.1,"Oper.Eficiente","n/a"))</f>
        <v>Oper. Ineficiente</v>
      </c>
      <c r="EV260" s="42">
        <f>VLOOKUP(BH260,Fundamentus!A:U,14,FALSE)</f>
        <v>-0.32219999999999999</v>
      </c>
      <c r="EW260" s="20" t="str">
        <f>IF(VLOOKUP(BH260,Fundamentus!A:U,21,FALSE)&lt;0,"Negativo",IF(VLOOKUP(BH260,Fundamentus!A:U,21,FALSE)&lt;0.05,"Fraco",IF(VLOOKUP(BH260,Fundamentus!A:U,21,FALSE)&lt;0.1,"Bom",IF(VLOOKUP(BH260,Fundamentus!A:U,21,FALSE)&gt;0.1,"Muito bom","n/a"))))</f>
        <v>Muito bom</v>
      </c>
      <c r="EY260" s="37" t="str">
        <f>IF(VLOOKUP(BH260,Fundamentus!A:U,15,FALSE)&gt;1,"Bom",IF(VLOOKUP(BH260,Fundamentus!A:U,15,FALSE)&lt;1,"Ruim","n/a"))</f>
        <v>Bom</v>
      </c>
      <c r="EZ260" s="20" t="str">
        <f>IF(VLOOKUP(BH260,Fundamentus!A:U,20,FALSE)&lt;0.5,"Baixa",IF(VLOOKUP(BH260,Fundamentus!A:U,20,FALSE)&lt;1,"Moderada",IF(VLOOKUP(BH260,Fundamentus!A:U,20,FALSE)&lt;2,"Alerta",IF(VLOOKUP(BH260,Fundamentus!A:U,20,FALSE)&gt;2,"Alta","n/a"))))</f>
        <v>Alerta</v>
      </c>
    </row>
    <row r="261" spans="1:156" s="2" customFormat="1" ht="11.25" hidden="1" x14ac:dyDescent="0.2">
      <c r="A261" s="4">
        <v>10.95</v>
      </c>
      <c r="B261" s="4">
        <v>11.08</v>
      </c>
      <c r="C261" s="4">
        <v>10.07</v>
      </c>
      <c r="D261" s="4">
        <v>10.36</v>
      </c>
      <c r="E261" s="4">
        <v>9.5</v>
      </c>
      <c r="F261" s="4">
        <v>9.23</v>
      </c>
      <c r="G261" s="4">
        <v>9.1199999999999992</v>
      </c>
      <c r="H261" s="4">
        <v>7.68</v>
      </c>
      <c r="I261" s="4">
        <v>7.35</v>
      </c>
      <c r="J261" s="4">
        <v>8.2200000000000006</v>
      </c>
      <c r="K261" s="4">
        <v>8.83</v>
      </c>
      <c r="L261" s="4">
        <v>8.3800000000000008</v>
      </c>
      <c r="M261" s="4">
        <v>8.25</v>
      </c>
      <c r="N261" s="4">
        <v>7.95</v>
      </c>
      <c r="O261" s="4">
        <v>7.95</v>
      </c>
      <c r="P261" s="4">
        <v>7.41</v>
      </c>
      <c r="Q261" s="4">
        <v>7.6</v>
      </c>
      <c r="R261" s="4">
        <v>5.39</v>
      </c>
      <c r="S261" s="4">
        <v>4.4400000000000004</v>
      </c>
      <c r="T261" s="4">
        <v>4.95</v>
      </c>
      <c r="U261" s="4">
        <v>5.26</v>
      </c>
      <c r="V261" s="4">
        <v>5.95</v>
      </c>
      <c r="W261" s="4">
        <v>5.88</v>
      </c>
      <c r="X261" s="4">
        <v>5.93</v>
      </c>
      <c r="Y261" s="4">
        <v>5.76</v>
      </c>
      <c r="Z261" s="4">
        <v>5.36</v>
      </c>
      <c r="AA261" s="4">
        <v>5.31</v>
      </c>
      <c r="AB261" s="4">
        <v>5.1100000000000003</v>
      </c>
      <c r="AC261" s="4">
        <v>5.33</v>
      </c>
      <c r="AD261" s="4">
        <v>4.97</v>
      </c>
      <c r="AE261" s="4">
        <v>4.92</v>
      </c>
      <c r="AF261" s="4">
        <v>4.37</v>
      </c>
      <c r="AG261" s="4">
        <v>4.17</v>
      </c>
      <c r="AH261" s="4">
        <v>3.3</v>
      </c>
      <c r="AI261" s="4">
        <v>3.36</v>
      </c>
      <c r="AJ261" s="4">
        <v>3.75</v>
      </c>
      <c r="AK261" s="4">
        <v>4.1399999999999997</v>
      </c>
      <c r="AL261" s="4">
        <v>4.43</v>
      </c>
      <c r="AM261" s="4">
        <v>4.51</v>
      </c>
      <c r="AN261" s="4">
        <v>4.5999999999999996</v>
      </c>
      <c r="AO261" s="4">
        <v>3.78</v>
      </c>
      <c r="AP261" s="4">
        <v>3.84</v>
      </c>
      <c r="AQ261" s="4">
        <v>3.63</v>
      </c>
      <c r="AR261" s="4">
        <v>3.87</v>
      </c>
      <c r="AS261" s="4">
        <v>3.9</v>
      </c>
      <c r="AT261" s="4">
        <v>3.77</v>
      </c>
      <c r="AU261" s="4">
        <v>3.72</v>
      </c>
      <c r="AV261" s="4">
        <v>3.44</v>
      </c>
      <c r="AW261" s="4">
        <v>3.21</v>
      </c>
      <c r="AX261" s="4">
        <v>3</v>
      </c>
      <c r="AY261" s="12">
        <v>3.06</v>
      </c>
      <c r="AZ261" s="12">
        <v>1.95</v>
      </c>
      <c r="BA261" s="12">
        <v>1.47</v>
      </c>
      <c r="BB261" s="18">
        <v>1.43</v>
      </c>
      <c r="BC261" s="63">
        <v>1.1399999999999999</v>
      </c>
      <c r="BD261" s="63">
        <v>1.04</v>
      </c>
      <c r="BE261" s="63">
        <v>0.9</v>
      </c>
      <c r="BF261" s="63">
        <v>0.96</v>
      </c>
      <c r="BG261" s="91" cm="1">
        <f t="array" aca="1" ref="BG261" ca="1">_FV(EE261,"Preço")</f>
        <v>0.99</v>
      </c>
      <c r="BH261" s="93" t="s">
        <v>258</v>
      </c>
      <c r="BI261" s="32" cm="1">
        <f t="array" aca="1" ref="BI261" ca="1">_FV(EE261,"Beta")</f>
        <v>1.9543999999999999</v>
      </c>
      <c r="BJ261" s="96" cm="1">
        <f t="array" aca="1" ref="BJ261" ca="1">_FV(EE261,"Variação (%)",TRUE)</f>
        <v>5.3190999999999995E-2</v>
      </c>
      <c r="BK261" s="49"/>
      <c r="BL261" s="49"/>
      <c r="BN261" s="32"/>
      <c r="BO261" s="20" cm="1">
        <f t="array" aca="1" ref="BO261" ca="1">_FV(EE261,"Baixo")</f>
        <v>0.9</v>
      </c>
      <c r="BP261" s="20" cm="1">
        <f t="array" aca="1" ref="BP261" ca="1">_FV(EE261,"Alto")</f>
        <v>1.0900000000000001</v>
      </c>
      <c r="BQ261" s="32"/>
      <c r="BR261" s="74" t="e">
        <f ca="1">SQRT(22.5*(BG261/VLOOKUP(BH261,Fundamentus!A:U,3,FALSE))*(BG261/VLOOKUP(BH261,Fundamentus!A:U,4,FALSE)))</f>
        <v>#NUM!</v>
      </c>
      <c r="BT261" s="73">
        <f t="shared" ref="BT261:BT270" ca="1" si="296">(BG261 - BF261) / BF261</f>
        <v>3.1250000000000028E-2</v>
      </c>
      <c r="BU261" s="36">
        <f t="shared" ref="BU261:BU270" si="297">(BE261 - A261) / A261</f>
        <v>-0.9178082191780822</v>
      </c>
      <c r="BV261" s="8"/>
      <c r="BW261" s="72">
        <f t="shared" ref="BW261:BW270" si="298">MIN(A261:BF261)</f>
        <v>0.9</v>
      </c>
      <c r="BX261" s="72">
        <f t="shared" ref="BX261:BX270" si="299">AVERAGE(A261:BF261)</f>
        <v>5.3315517241379293</v>
      </c>
      <c r="BY261" s="72">
        <f t="shared" ref="BY261:BY270" si="300">MAX(A261:BF261)</f>
        <v>11.08</v>
      </c>
      <c r="BZ261" s="17"/>
      <c r="CA261" s="17"/>
      <c r="CB261" s="43">
        <f t="shared" ref="CB261:CB270" si="301">CC261-DU261*2</f>
        <v>0.66298031865040463</v>
      </c>
      <c r="CC261" s="18">
        <f t="shared" ref="CC261:CC270" si="302">FORECAST("13/06/2025", BC261:BF261, $BC$4:$BF$4)</f>
        <v>0.84298031865040457</v>
      </c>
      <c r="CD261" s="43">
        <f t="shared" ref="CD261:CD270" si="303">CC261+DU261*2</f>
        <v>1.0229803186504045</v>
      </c>
      <c r="CE261" s="98">
        <f t="shared" ref="CE261:CE270" ca="1" si="304">(BG261-CC261)/(CC261-CB261)</f>
        <v>0.81677600749775259</v>
      </c>
      <c r="CF261" s="17"/>
      <c r="CG261" s="20">
        <f t="shared" ref="CG261:CG270" si="305">BW261-2*(BY261-CJ261)</f>
        <v>-12.633333333333333</v>
      </c>
      <c r="CH261" s="20">
        <f t="shared" ref="CH261:CH270" si="306">CJ261-(BY261-BW261)</f>
        <v>-5.8666666666666663</v>
      </c>
      <c r="CI261" s="20">
        <f t="shared" ref="CI261:CI270" si="307">2*CJ261-BY261</f>
        <v>-2.4533333333333331</v>
      </c>
      <c r="CJ261" s="49">
        <f t="shared" ref="CJ261:CJ270" si="308">(BY261+BW261+BF261)/3</f>
        <v>4.3133333333333335</v>
      </c>
      <c r="CK261" s="20">
        <f t="shared" ref="CK261:CK270" si="309">2*CJ261-BW261</f>
        <v>7.7266666666666666</v>
      </c>
      <c r="CL261" s="20">
        <f t="shared" ref="CL261:CL270" si="310">CJ261+(BY261-BW261)</f>
        <v>14.493333333333332</v>
      </c>
      <c r="CM261" s="20">
        <f t="shared" ref="CM261:CM270" si="311">BY261+2*(CJ261-BW261)</f>
        <v>17.906666666666666</v>
      </c>
      <c r="CN261" s="2" cm="1">
        <f t="array" aca="1" ref="CN261" ca="1">MAX(_xlfn._xlws.FILTER(CG261:CM261,CG261:CM261&lt;BG261))</f>
        <v>-2.4533333333333331</v>
      </c>
      <c r="CO261" s="2" cm="1">
        <f t="array" aca="1" ref="CO261" ca="1">MIN(_xlfn._xlws.FILTER($CG261:$CM261,$CG261:$CM261&gt;BG261))</f>
        <v>4.3133333333333335</v>
      </c>
      <c r="CP261" s="19">
        <f t="shared" ref="CP261:CP270" ca="1" si="312">(CO261/CN261)-1</f>
        <v>-2.7581521739130439</v>
      </c>
      <c r="CQ261" s="23">
        <f t="shared" ref="CQ261:CQ270" ca="1" si="313">-$CP261/2</f>
        <v>1.379076086956522</v>
      </c>
      <c r="CR261" s="23">
        <f t="shared" ref="CR261:CR270" ca="1" si="314">-$CP261/3</f>
        <v>0.91938405797101463</v>
      </c>
      <c r="CS261" s="23">
        <f t="shared" ref="CS261:CS270" ca="1" si="315">-$CP261/5</f>
        <v>0.55163043478260876</v>
      </c>
      <c r="CT261" s="23">
        <f t="shared" ref="CT261:CT270" ca="1" si="316">-$CP261/9</f>
        <v>0.30646135265700486</v>
      </c>
      <c r="CU261" s="23">
        <f t="shared" ca="1" si="282"/>
        <v>0.1622442455242967</v>
      </c>
      <c r="CV261" s="23">
        <f t="shared" ca="1" si="283"/>
        <v>8.3580368906455871E-2</v>
      </c>
      <c r="CW261" s="23">
        <f t="shared" ca="1" si="284"/>
        <v>4.2433110367892983E-2</v>
      </c>
      <c r="CX261" s="24">
        <f t="shared" ca="1" si="285"/>
        <v>-4.2433110367892983E-2</v>
      </c>
      <c r="CY261" s="24">
        <f t="shared" ca="1" si="286"/>
        <v>-8.3580368906455871E-2</v>
      </c>
      <c r="CZ261" s="24">
        <f t="shared" ca="1" si="287"/>
        <v>-0.1622442455242967</v>
      </c>
      <c r="DA261" s="24">
        <f t="shared" ref="DA261:DA270" ca="1" si="317">-$CP261/9*-1</f>
        <v>-0.30646135265700486</v>
      </c>
      <c r="DB261" s="24">
        <f t="shared" ref="DB261:DB270" ca="1" si="318">-$CP261/5*-1</f>
        <v>-0.55163043478260876</v>
      </c>
      <c r="DC261" s="24">
        <f t="shared" ref="DC261:DC270" ca="1" si="319">-$CP261/3*-1</f>
        <v>-0.91938405797101463</v>
      </c>
      <c r="DD261" s="24">
        <f t="shared" ref="DD261:DD270" ca="1" si="320">-$CP261/2*-1</f>
        <v>-1.379076086956522</v>
      </c>
      <c r="DF261" s="19" cm="1">
        <f t="array" aca="1" ref="DF261" ca="1">MAX(_xlfn._xlws.FILTER(CQ261:DD261,CQ261:DD261&lt;BJ261))</f>
        <v>4.2433110367892983E-2</v>
      </c>
      <c r="DG261" s="19" cm="1">
        <f t="array" aca="1" ref="DG261" ca="1">MIN(_xlfn._xlws.FILTER(CQ261:DD261,CQ261:DD261&gt;BJ261))</f>
        <v>8.3580368906455871E-2</v>
      </c>
      <c r="DH261" s="2" cm="1">
        <f t="array" aca="1" ref="DH261" ca="1">_FV(EE261,"Fechamento anterior",TRUE)</f>
        <v>0.94</v>
      </c>
      <c r="DI261" s="36">
        <f t="shared" ref="DI261:DI270" ca="1" si="321">(BG261-DJ261)/(DK261-DJ261)</f>
        <v>0.26146040771407769</v>
      </c>
      <c r="DJ261" s="18">
        <f t="shared" ca="1" si="294"/>
        <v>0.97988712374581932</v>
      </c>
      <c r="DK261" s="18">
        <f t="shared" ca="1" si="295"/>
        <v>1.0185655467720685</v>
      </c>
      <c r="DL261" s="9"/>
      <c r="DM261" s="9"/>
      <c r="DN261" s="9"/>
      <c r="DO261" s="9"/>
      <c r="DP261" s="79">
        <v>4.4306570622360104E-2</v>
      </c>
      <c r="DQ261" s="79">
        <v>3.9658283022277772E-2</v>
      </c>
      <c r="DR261" s="79">
        <v>8.1795208733447908E-2</v>
      </c>
      <c r="DS261" s="79">
        <f t="shared" ref="DS261:DS270" ca="1" si="322">DG261-DF261</f>
        <v>4.1147258538562888E-2</v>
      </c>
      <c r="DT261" s="47"/>
      <c r="DU261" s="43">
        <f t="shared" ref="DU261:DU270" si="323">_xlfn.STDEV.P(BC261:BF261)</f>
        <v>8.9999999999999969E-2</v>
      </c>
      <c r="DV261" s="83">
        <f t="shared" ref="DV261:DV270" ca="1" si="324">BI261-$DP$2</f>
        <v>2.3805000000000001</v>
      </c>
      <c r="DW261" s="83">
        <f t="shared" ref="DW261:DW270" ca="1" si="325">BI261-BJ261*100</f>
        <v>-3.3647</v>
      </c>
      <c r="DX261" s="83">
        <f t="shared" ca="1" si="276"/>
        <v>5.7452000000000005</v>
      </c>
      <c r="DY261" s="67"/>
      <c r="DZ261" s="67"/>
      <c r="EA261" s="85"/>
      <c r="EB261" s="44">
        <v>41527700</v>
      </c>
      <c r="EC261" s="44" cm="1">
        <f t="array" aca="1" ref="EC261" ca="1">_FV(EE261,"Volume")</f>
        <v>76790400</v>
      </c>
      <c r="EE261" s="2" t="e" vm="263">
        <v>#VALUE!</v>
      </c>
      <c r="EG261" s="10" cm="1">
        <f t="array" aca="1" ref="EG261" ca="1">_FV(EE261,"Ações em circulação",TRUE)</f>
        <v>896039700</v>
      </c>
      <c r="EH261" s="21">
        <f>VLOOKUP(BH261,Fundamentus!A:U,5,FALSE)</f>
        <v>4.3999999999999997E-2</v>
      </c>
      <c r="EI261" s="2">
        <f t="shared" ref="EI261:EI270" ca="1" si="326">(BG261*EG261)/EH261</f>
        <v>20160893250</v>
      </c>
      <c r="EJ261" s="20">
        <v>11487554786.618183</v>
      </c>
      <c r="EK261" s="20">
        <f t="shared" ref="EK261:EK270" ca="1" si="327">EI261*EV261</f>
        <v>11846540873.700001</v>
      </c>
      <c r="EM261" s="40" t="str">
        <f>IF(VLOOKUP(BH261,Fundamentus!A:U,3,FALSE)&lt;15,"Bom",IF(VLOOKUP(BH261,Fundamentus!A:U,3,FALSE)&gt;15,"Ruim","n/a"))</f>
        <v>Bom</v>
      </c>
      <c r="EN261" s="36" t="str">
        <f>IF(VLOOKUP(BH261,Fundamentus!A:U,4,FALSE)&lt;1,"Baixo",IF(VLOOKUP(BH261,Fundamentus!A:U,4,FALSE)&lt;1.5,"Moderado",IF(VLOOKUP(BH261,Fundamentus!A:U,4,FALSE)&gt;1.5,"Alto","n/a")))</f>
        <v>Baixo</v>
      </c>
      <c r="EO261" s="20" t="str">
        <f>IF(VLOOKUP(BH261,Fundamentus!A:U,8,FALSE)&lt;0,"Risco elevado",IF(VLOOKUP(BH261,Fundamentus!A:U,8,FALSE)&lt;1,"Saudável",IF(VLOOKUP(BH261,Fundamentus!A:U,8,FALSE)&lt;3,"Estável",IF(VLOOKUP(BH261,Fundamentus!A:U,8,FALSE)&gt;3,"Alerta","n/a"))))</f>
        <v>Risco elevado</v>
      </c>
      <c r="EP261" s="36" t="str">
        <f t="shared" ref="EP261:EP270" si="328">IF(EH261&gt;1,"Bom","Ruim")</f>
        <v>Ruim</v>
      </c>
      <c r="EQ261" s="20" t="str">
        <f>IF(VLOOKUP(BH261,Fundamentus!A:U,12,FALSE)&lt;2,"Subvalorizada",IF(VLOOKUP(BH261,Fundamentus!A:U,12,FALSE)&lt;6,"Muita barata",IF(VLOOKUP(BH261,Fundamentus!A:U,12,FALSE)&lt;6,"Barata",IF(VLOOKUP(BH261,Fundamentus!A:U,12,FALSE)&lt;8,"Atrativa",IF(VLOOKUP(BH261,Fundamentus!A:U,12,FALSE)&gt;8,"Supervalorizada","n/a")))))</f>
        <v>Muita barata</v>
      </c>
      <c r="ES261" s="20" t="str">
        <f>IF(VLOOKUP(BH261,Fundamentus!A:U,17,FALSE)&lt;0.1,"Fraco retorno",IF(VLOOKUP(BH261,Fundamentus!A:U,17,FALSE)&gt;0.1,"Bom retorno","n/a"))</f>
        <v>Fraco retorno</v>
      </c>
      <c r="ET261" s="20" t="str">
        <f>IF(VLOOKUP(BH261,Fundamentus!A:U,16,FALSE)&lt;0.1,"Ineficiente",IF(VLOOKUP(BH261,Fundamentus!A:U,16,FALSE)&gt;0.1,"Eficiente","n/a"))</f>
        <v>Eficiente</v>
      </c>
      <c r="EU261" s="41" t="str">
        <f>IF(VLOOKUP(BH261,Fundamentus!A:U,16,FALSE)&lt;0.1,"Oper. Ineficiente",IF(VLOOKUP(BH261,Fundamentus!A:U,16,FALSE)&gt;0.1,"Oper.Eficiente","n/a"))</f>
        <v>Oper.Eficiente</v>
      </c>
      <c r="EV261" s="42">
        <f>VLOOKUP(BH261,Fundamentus!A:U,14,FALSE)</f>
        <v>0.58760000000000001</v>
      </c>
      <c r="EW261" s="20" t="str">
        <f>IF(VLOOKUP(BH261,Fundamentus!A:U,21,FALSE)&lt;0,"Negativo",IF(VLOOKUP(BH261,Fundamentus!A:U,21,FALSE)&lt;0.05,"Fraco",IF(VLOOKUP(BH261,Fundamentus!A:U,21,FALSE)&lt;0.1,"Bom",IF(VLOOKUP(BH261,Fundamentus!A:U,21,FALSE)&gt;0.1,"Muito bom","n/a"))))</f>
        <v>Muito bom</v>
      </c>
      <c r="EY261" s="37" t="str">
        <f>IF(VLOOKUP(BH261,Fundamentus!A:U,15,FALSE)&gt;1,"Bom",IF(VLOOKUP(BH261,Fundamentus!A:U,15,FALSE)&lt;1,"Ruim","n/a"))</f>
        <v>Ruim</v>
      </c>
      <c r="EZ261" s="20" t="str">
        <f>IF(VLOOKUP(BH261,Fundamentus!A:U,20,FALSE)&lt;0.5,"Baixa",IF(VLOOKUP(BH261,Fundamentus!A:U,20,FALSE)&lt;1,"Moderada",IF(VLOOKUP(BH261,Fundamentus!A:U,20,FALSE)&lt;2,"Alerta",IF(VLOOKUP(BH261,Fundamentus!A:U,20,FALSE)&gt;2,"Alta","n/a"))))</f>
        <v>Baixa</v>
      </c>
    </row>
    <row r="262" spans="1:156" s="2" customFormat="1" ht="11.25" hidden="1" x14ac:dyDescent="0.2">
      <c r="A262" s="4">
        <v>8.6</v>
      </c>
      <c r="B262" s="4">
        <v>8.83</v>
      </c>
      <c r="C262" s="4">
        <v>8.75</v>
      </c>
      <c r="D262" s="4">
        <v>8.44</v>
      </c>
      <c r="E262" s="4">
        <v>8.2100000000000009</v>
      </c>
      <c r="F262" s="4">
        <v>8</v>
      </c>
      <c r="G262" s="4">
        <v>7.58</v>
      </c>
      <c r="H262" s="4">
        <v>6.92</v>
      </c>
      <c r="I262" s="4">
        <v>6.32</v>
      </c>
      <c r="J262" s="4">
        <v>6.55</v>
      </c>
      <c r="K262" s="4">
        <v>6.54</v>
      </c>
      <c r="L262" s="4">
        <v>6.65</v>
      </c>
      <c r="M262" s="4">
        <v>6.67</v>
      </c>
      <c r="N262" s="4">
        <v>6.58</v>
      </c>
      <c r="O262" s="4">
        <v>6.5</v>
      </c>
      <c r="P262" s="4">
        <v>7.61</v>
      </c>
      <c r="Q262" s="4">
        <v>8.01</v>
      </c>
      <c r="R262" s="4">
        <v>8.81</v>
      </c>
      <c r="S262" s="4">
        <v>8.01</v>
      </c>
      <c r="T262" s="4">
        <v>6.3</v>
      </c>
      <c r="U262" s="4">
        <v>5.4</v>
      </c>
      <c r="V262" s="4">
        <v>5.03</v>
      </c>
      <c r="W262" s="4">
        <v>5.5</v>
      </c>
      <c r="X262" s="4">
        <v>5.68</v>
      </c>
      <c r="Y262" s="4">
        <v>5.62</v>
      </c>
      <c r="Z262" s="4">
        <v>5.48</v>
      </c>
      <c r="AA262" s="4">
        <v>4.95</v>
      </c>
      <c r="AB262" s="4">
        <v>5.29</v>
      </c>
      <c r="AC262" s="4">
        <v>5.09</v>
      </c>
      <c r="AD262" s="4">
        <v>4.53</v>
      </c>
      <c r="AE262" s="4">
        <v>3.92</v>
      </c>
      <c r="AF262" s="4">
        <v>3.53</v>
      </c>
      <c r="AG262" s="4">
        <v>2.85</v>
      </c>
      <c r="AH262" s="4">
        <v>2.86</v>
      </c>
      <c r="AI262" s="4">
        <v>2.96</v>
      </c>
      <c r="AJ262" s="4">
        <v>3.07</v>
      </c>
      <c r="AK262" s="4">
        <v>3.15</v>
      </c>
      <c r="AL262" s="4">
        <v>3.29</v>
      </c>
      <c r="AM262" s="4">
        <v>3.25</v>
      </c>
      <c r="AN262" s="4">
        <v>3.43</v>
      </c>
      <c r="AO262" s="4">
        <v>3.58</v>
      </c>
      <c r="AP262" s="4">
        <v>3.73</v>
      </c>
      <c r="AQ262" s="4">
        <v>3.84</v>
      </c>
      <c r="AR262" s="4">
        <v>3.83</v>
      </c>
      <c r="AS262" s="4">
        <v>3.64</v>
      </c>
      <c r="AT262" s="4">
        <v>3.67</v>
      </c>
      <c r="AU262" s="4">
        <v>3.5049999999999999</v>
      </c>
      <c r="AV262" s="4">
        <v>3.67</v>
      </c>
      <c r="AW262" s="4">
        <v>3.45</v>
      </c>
      <c r="AX262" s="4">
        <v>3.38</v>
      </c>
      <c r="AY262" s="12">
        <v>3.74</v>
      </c>
      <c r="AZ262" s="12">
        <v>3.71</v>
      </c>
      <c r="BA262" s="12">
        <v>3.86</v>
      </c>
      <c r="BB262" s="18">
        <v>5.01</v>
      </c>
      <c r="BC262" s="63">
        <v>4.96</v>
      </c>
      <c r="BD262" s="63">
        <v>6.74</v>
      </c>
      <c r="BE262" s="63">
        <v>7.97</v>
      </c>
      <c r="BF262" s="63">
        <v>7.93</v>
      </c>
      <c r="BG262" s="91" cm="1">
        <f t="array" aca="1" ref="BG262" ca="1">_FV(EE262,"Preço")</f>
        <v>7.76</v>
      </c>
      <c r="BH262" s="93" t="s">
        <v>259</v>
      </c>
      <c r="BI262" s="32" cm="1">
        <f t="array" aca="1" ref="BI262" ca="1">_FV(EE262,"Beta")</f>
        <v>1.6503000000000001</v>
      </c>
      <c r="BJ262" s="96" cm="1">
        <f t="array" aca="1" ref="BJ262" ca="1">_FV(EE262,"Variação (%)",TRUE)</f>
        <v>4.1611000000000002E-2</v>
      </c>
      <c r="BK262" s="49"/>
      <c r="BL262" s="49"/>
      <c r="BN262" s="32"/>
      <c r="BO262" s="20" cm="1">
        <f t="array" aca="1" ref="BO262" ca="1">_FV(EE262,"Baixo")</f>
        <v>7.44</v>
      </c>
      <c r="BP262" s="20" cm="1">
        <f t="array" aca="1" ref="BP262" ca="1">_FV(EE262,"Alto")</f>
        <v>7.76</v>
      </c>
      <c r="BQ262" s="32"/>
      <c r="BR262" s="74">
        <f ca="1">SQRT(22.5*(BG262/VLOOKUP(BH262,Fundamentus!A:U,3,FALSE))*(BG262/VLOOKUP(BH262,Fundamentus!A:U,4,FALSE)))</f>
        <v>14.675624445063079</v>
      </c>
      <c r="BT262" s="73">
        <f t="shared" ca="1" si="296"/>
        <v>-2.1437578814627985E-2</v>
      </c>
      <c r="BU262" s="36">
        <f t="shared" si="297"/>
        <v>-7.3255813953488361E-2</v>
      </c>
      <c r="BV262" s="8"/>
      <c r="BW262" s="72">
        <f t="shared" si="298"/>
        <v>2.85</v>
      </c>
      <c r="BX262" s="72">
        <f t="shared" si="299"/>
        <v>5.4306034482758623</v>
      </c>
      <c r="BY262" s="72">
        <f t="shared" si="300"/>
        <v>8.83</v>
      </c>
      <c r="BZ262" s="17"/>
      <c r="CA262" s="17"/>
      <c r="CB262" s="43">
        <f t="shared" si="301"/>
        <v>6.9421871356468579</v>
      </c>
      <c r="CC262" s="18">
        <f t="shared" si="302"/>
        <v>9.3906560449859171</v>
      </c>
      <c r="CD262" s="43">
        <f t="shared" si="303"/>
        <v>11.839124954324976</v>
      </c>
      <c r="CE262" s="98">
        <f t="shared" ca="1" si="304"/>
        <v>-0.66599009640930962</v>
      </c>
      <c r="CF262" s="17"/>
      <c r="CG262" s="20">
        <f t="shared" si="305"/>
        <v>-1.7366666666666677</v>
      </c>
      <c r="CH262" s="20">
        <f t="shared" si="306"/>
        <v>0.55666666666666575</v>
      </c>
      <c r="CI262" s="20">
        <f t="shared" si="307"/>
        <v>4.2433333333333323</v>
      </c>
      <c r="CJ262" s="49">
        <f t="shared" si="308"/>
        <v>6.5366666666666662</v>
      </c>
      <c r="CK262" s="20">
        <f t="shared" si="309"/>
        <v>10.223333333333333</v>
      </c>
      <c r="CL262" s="20">
        <f t="shared" si="310"/>
        <v>12.516666666666666</v>
      </c>
      <c r="CM262" s="20">
        <f t="shared" si="311"/>
        <v>16.203333333333333</v>
      </c>
      <c r="CN262" s="2" cm="1">
        <f t="array" aca="1" ref="CN262" ca="1">MAX(_xlfn._xlws.FILTER(CG262:CM262,CG262:CM262&lt;BG262))</f>
        <v>6.5366666666666662</v>
      </c>
      <c r="CO262" s="2" cm="1">
        <f t="array" aca="1" ref="CO262" ca="1">MIN(_xlfn._xlws.FILTER($CG262:$CM262,$CG262:$CM262&gt;BG262))</f>
        <v>10.223333333333333</v>
      </c>
      <c r="CP262" s="19">
        <f t="shared" ca="1" si="312"/>
        <v>0.56399796022437543</v>
      </c>
      <c r="CQ262" s="23">
        <f t="shared" ca="1" si="313"/>
        <v>-0.28199898011218771</v>
      </c>
      <c r="CR262" s="23">
        <f t="shared" ca="1" si="314"/>
        <v>-0.18799932007479181</v>
      </c>
      <c r="CS262" s="23">
        <f t="shared" ca="1" si="315"/>
        <v>-0.11279959204487508</v>
      </c>
      <c r="CT262" s="23">
        <f t="shared" ca="1" si="316"/>
        <v>-6.2666440024930603E-2</v>
      </c>
      <c r="CU262" s="23">
        <f t="shared" ca="1" si="282"/>
        <v>-3.3176350601433847E-2</v>
      </c>
      <c r="CV262" s="23">
        <f t="shared" ca="1" si="283"/>
        <v>-1.709084727952653E-2</v>
      </c>
      <c r="CW262" s="23">
        <f t="shared" ca="1" si="284"/>
        <v>-8.6768916957596226E-3</v>
      </c>
      <c r="CX262" s="24">
        <f t="shared" ca="1" si="285"/>
        <v>8.6768916957596226E-3</v>
      </c>
      <c r="CY262" s="24">
        <f t="shared" ca="1" si="286"/>
        <v>1.709084727952653E-2</v>
      </c>
      <c r="CZ262" s="24">
        <f t="shared" ca="1" si="287"/>
        <v>3.3176350601433847E-2</v>
      </c>
      <c r="DA262" s="24">
        <f t="shared" ca="1" si="317"/>
        <v>6.2666440024930603E-2</v>
      </c>
      <c r="DB262" s="24">
        <f t="shared" ca="1" si="318"/>
        <v>0.11279959204487508</v>
      </c>
      <c r="DC262" s="24">
        <f t="shared" ca="1" si="319"/>
        <v>0.18799932007479181</v>
      </c>
      <c r="DD262" s="24">
        <f t="shared" ca="1" si="320"/>
        <v>0.28199898011218771</v>
      </c>
      <c r="DF262" s="19" cm="1">
        <f t="array" aca="1" ref="DF262" ca="1">MAX(_xlfn._xlws.FILTER(CQ262:DD262,CQ262:DD262&lt;BJ262))</f>
        <v>3.3176350601433847E-2</v>
      </c>
      <c r="DG262" s="19" cm="1">
        <f t="array" aca="1" ref="DG262" ca="1">MIN(_xlfn._xlws.FILTER(CQ262:DD262,CQ262:DD262&gt;BJ262))</f>
        <v>6.2666440024930603E-2</v>
      </c>
      <c r="DH262" s="2" cm="1">
        <f t="array" aca="1" ref="DH262" ca="1">_FV(EE262,"Fechamento anterior",TRUE)</f>
        <v>7.45</v>
      </c>
      <c r="DI262" s="36">
        <f t="shared" ca="1" si="321"/>
        <v>0.28600753061397566</v>
      </c>
      <c r="DJ262" s="18">
        <f t="shared" ca="1" si="294"/>
        <v>7.6971638119806824</v>
      </c>
      <c r="DK262" s="18">
        <f t="shared" ca="1" si="295"/>
        <v>7.9168649781857336</v>
      </c>
      <c r="DL262" s="9"/>
      <c r="DM262" s="9"/>
      <c r="DN262" s="9"/>
      <c r="DO262" s="9"/>
      <c r="DP262" s="79">
        <v>2.3077887871566522E-2</v>
      </c>
      <c r="DQ262" s="79">
        <v>9.6400394477317547E-2</v>
      </c>
      <c r="DR262" s="79">
        <v>1.7796995903504781E-2</v>
      </c>
      <c r="DS262" s="79">
        <f t="shared" ca="1" si="322"/>
        <v>2.9490089423496756E-2</v>
      </c>
      <c r="DT262" s="47"/>
      <c r="DU262" s="43">
        <f t="shared" si="323"/>
        <v>1.2242344546695298</v>
      </c>
      <c r="DV262" s="83">
        <f t="shared" ca="1" si="324"/>
        <v>2.0764</v>
      </c>
      <c r="DW262" s="83">
        <f t="shared" ca="1" si="325"/>
        <v>-2.5108000000000001</v>
      </c>
      <c r="DX262" s="83">
        <f t="shared" ca="1" si="276"/>
        <v>4.5872000000000002</v>
      </c>
      <c r="DY262" s="67"/>
      <c r="DZ262" s="67"/>
      <c r="EA262" s="85"/>
      <c r="EB262" s="44">
        <v>28200</v>
      </c>
      <c r="EC262" s="44" cm="1">
        <f t="array" aca="1" ref="EC262" ca="1">_FV(EE262,"Volume")</f>
        <v>26300</v>
      </c>
      <c r="EE262" s="2" t="e" vm="264">
        <v>#VALUE!</v>
      </c>
      <c r="EG262" s="10" cm="1">
        <f t="array" aca="1" ref="EG262" ca="1">_FV(EE262,"Ações em circulação",TRUE)</f>
        <v>13321980</v>
      </c>
      <c r="EH262" s="21">
        <f>VLOOKUP(BH262,Fundamentus!A:U,5,FALSE)</f>
        <v>0.65600000000000003</v>
      </c>
      <c r="EI262" s="2">
        <f t="shared" ca="1" si="326"/>
        <v>157589275.60975608</v>
      </c>
      <c r="EJ262" s="20">
        <v>-7214664.4858536581</v>
      </c>
      <c r="EK262" s="20">
        <f t="shared" ca="1" si="327"/>
        <v>-7059999.5473170727</v>
      </c>
      <c r="EM262" s="40" t="str">
        <f>IF(VLOOKUP(BH262,Fundamentus!A:U,3,FALSE)&lt;15,"Bom",IF(VLOOKUP(BH262,Fundamentus!A:U,3,FALSE)&gt;15,"Ruim","n/a"))</f>
        <v>Bom</v>
      </c>
      <c r="EN262" s="36" t="str">
        <f>IF(VLOOKUP(BH262,Fundamentus!A:U,4,FALSE)&lt;1,"Baixo",IF(VLOOKUP(BH262,Fundamentus!A:U,4,FALSE)&lt;1.5,"Moderado",IF(VLOOKUP(BH262,Fundamentus!A:U,4,FALSE)&gt;1.5,"Alto","n/a")))</f>
        <v>Baixo</v>
      </c>
      <c r="EO262" s="20" t="str">
        <f>IF(VLOOKUP(BH262,Fundamentus!A:U,8,FALSE)&lt;0,"Risco elevado",IF(VLOOKUP(BH262,Fundamentus!A:U,8,FALSE)&lt;1,"Saudável",IF(VLOOKUP(BH262,Fundamentus!A:U,8,FALSE)&lt;3,"Estável",IF(VLOOKUP(BH262,Fundamentus!A:U,8,FALSE)&gt;3,"Alerta","n/a"))))</f>
        <v>Risco elevado</v>
      </c>
      <c r="EP262" s="36" t="str">
        <f t="shared" si="328"/>
        <v>Ruim</v>
      </c>
      <c r="EQ262" s="20" t="str">
        <f>IF(VLOOKUP(BH262,Fundamentus!A:U,12,FALSE)&lt;2,"Subvalorizada",IF(VLOOKUP(BH262,Fundamentus!A:U,12,FALSE)&lt;6,"Muita barata",IF(VLOOKUP(BH262,Fundamentus!A:U,12,FALSE)&lt;6,"Barata",IF(VLOOKUP(BH262,Fundamentus!A:U,12,FALSE)&lt;8,"Atrativa",IF(VLOOKUP(BH262,Fundamentus!A:U,12,FALSE)&gt;8,"Supervalorizada","n/a")))))</f>
        <v>Muita barata</v>
      </c>
      <c r="ES262" s="20" t="str">
        <f>IF(VLOOKUP(BH262,Fundamentus!A:U,17,FALSE)&lt;0.1,"Fraco retorno",IF(VLOOKUP(BH262,Fundamentus!A:U,17,FALSE)&gt;0.1,"Bom retorno","n/a"))</f>
        <v>Fraco retorno</v>
      </c>
      <c r="ET262" s="20" t="str">
        <f>IF(VLOOKUP(BH262,Fundamentus!A:U,16,FALSE)&lt;0.1,"Ineficiente",IF(VLOOKUP(BH262,Fundamentus!A:U,16,FALSE)&gt;0.1,"Eficiente","n/a"))</f>
        <v>Ineficiente</v>
      </c>
      <c r="EU262" s="41" t="str">
        <f>IF(VLOOKUP(BH262,Fundamentus!A:U,16,FALSE)&lt;0.1,"Oper. Ineficiente",IF(VLOOKUP(BH262,Fundamentus!A:U,16,FALSE)&gt;0.1,"Oper.Eficiente","n/a"))</f>
        <v>Oper. Ineficiente</v>
      </c>
      <c r="EV262" s="42">
        <f>VLOOKUP(BH262,Fundamentus!A:U,14,FALSE)</f>
        <v>-4.48E-2</v>
      </c>
      <c r="EW262" s="20" t="str">
        <f>IF(VLOOKUP(BH262,Fundamentus!A:U,21,FALSE)&lt;0,"Negativo",IF(VLOOKUP(BH262,Fundamentus!A:U,21,FALSE)&lt;0.05,"Fraco",IF(VLOOKUP(BH262,Fundamentus!A:U,21,FALSE)&lt;0.1,"Bom",IF(VLOOKUP(BH262,Fundamentus!A:U,21,FALSE)&gt;0.1,"Muito bom","n/a"))))</f>
        <v>Bom</v>
      </c>
      <c r="EY262" s="37" t="str">
        <f>IF(VLOOKUP(BH262,Fundamentus!A:U,15,FALSE)&gt;1,"Bom",IF(VLOOKUP(BH262,Fundamentus!A:U,15,FALSE)&lt;1,"Ruim","n/a"))</f>
        <v>Ruim</v>
      </c>
      <c r="EZ262" s="20" t="str">
        <f>IF(VLOOKUP(BH262,Fundamentus!A:U,20,FALSE)&lt;0.5,"Baixa",IF(VLOOKUP(BH262,Fundamentus!A:U,20,FALSE)&lt;1,"Moderada",IF(VLOOKUP(BH262,Fundamentus!A:U,20,FALSE)&lt;2,"Alerta",IF(VLOOKUP(BH262,Fundamentus!A:U,20,FALSE)&gt;2,"Alta","n/a"))))</f>
        <v>Baixa</v>
      </c>
    </row>
    <row r="263" spans="1:156" s="2" customFormat="1" ht="11.25" hidden="1" x14ac:dyDescent="0.2">
      <c r="A263" s="4">
        <v>2.73</v>
      </c>
      <c r="B263" s="4">
        <v>2.7</v>
      </c>
      <c r="C263" s="4">
        <v>2.58</v>
      </c>
      <c r="D263" s="4">
        <v>2.6</v>
      </c>
      <c r="E263" s="4">
        <v>2.52</v>
      </c>
      <c r="F263" s="4">
        <v>2.5099999999999998</v>
      </c>
      <c r="G263" s="4">
        <v>2.46</v>
      </c>
      <c r="H263" s="4">
        <v>2.39</v>
      </c>
      <c r="I263" s="4">
        <v>2.38</v>
      </c>
      <c r="J263" s="4">
        <v>2.42</v>
      </c>
      <c r="K263" s="4">
        <v>2.41</v>
      </c>
      <c r="L263" s="4">
        <v>2.4300000000000002</v>
      </c>
      <c r="M263" s="4">
        <v>2.4</v>
      </c>
      <c r="N263" s="4">
        <v>2.3199999999999998</v>
      </c>
      <c r="O263" s="4">
        <v>2.2400000000000002</v>
      </c>
      <c r="P263" s="4">
        <v>2.06</v>
      </c>
      <c r="Q263" s="4">
        <v>1.95</v>
      </c>
      <c r="R263" s="4">
        <v>1.85</v>
      </c>
      <c r="S263" s="4">
        <v>1.76</v>
      </c>
      <c r="T263" s="4">
        <v>1.76</v>
      </c>
      <c r="U263" s="4">
        <v>1.82</v>
      </c>
      <c r="V263" s="4">
        <v>1.63</v>
      </c>
      <c r="W263" s="4">
        <v>1.38</v>
      </c>
      <c r="X263" s="4">
        <v>1.37</v>
      </c>
      <c r="Y263" s="4">
        <v>1.19</v>
      </c>
      <c r="Z263" s="4">
        <v>1.0900000000000001</v>
      </c>
      <c r="AA263" s="4">
        <v>1.0900000000000001</v>
      </c>
      <c r="AB263" s="4">
        <v>1.05</v>
      </c>
      <c r="AC263" s="4">
        <v>1.08</v>
      </c>
      <c r="AD263" s="4">
        <v>1.01</v>
      </c>
      <c r="AE263" s="4">
        <v>0.99</v>
      </c>
      <c r="AF263" s="4">
        <v>1</v>
      </c>
      <c r="AG263" s="4">
        <v>1</v>
      </c>
      <c r="AH263" s="4">
        <v>0.97</v>
      </c>
      <c r="AI263" s="4">
        <v>1.03</v>
      </c>
      <c r="AJ263" s="4">
        <v>1.1200000000000001</v>
      </c>
      <c r="AK263" s="4">
        <v>1.28</v>
      </c>
      <c r="AL263" s="4">
        <v>1.34</v>
      </c>
      <c r="AM263" s="4">
        <v>1.22</v>
      </c>
      <c r="AN263" s="4">
        <v>1.0900000000000001</v>
      </c>
      <c r="AO263" s="4">
        <v>1.1000000000000001</v>
      </c>
      <c r="AP263" s="4">
        <v>1.19</v>
      </c>
      <c r="AQ263" s="4">
        <v>1.1000000000000001</v>
      </c>
      <c r="AR263" s="4">
        <v>1.07</v>
      </c>
      <c r="AS263" s="4">
        <v>1.04</v>
      </c>
      <c r="AT263" s="4">
        <v>1.07</v>
      </c>
      <c r="AU263" s="4">
        <v>1.05</v>
      </c>
      <c r="AV263" s="4">
        <v>1.04</v>
      </c>
      <c r="AW263" s="4">
        <v>1.5</v>
      </c>
      <c r="AX263" s="4">
        <v>2.0299999999999998</v>
      </c>
      <c r="AY263" s="12">
        <v>2.2000000000000002</v>
      </c>
      <c r="AZ263" s="12">
        <v>2.2000000000000002</v>
      </c>
      <c r="BA263" s="12">
        <v>2.1800000000000002</v>
      </c>
      <c r="BB263" s="18">
        <v>2.12</v>
      </c>
      <c r="BC263" s="63">
        <v>2.16</v>
      </c>
      <c r="BD263" s="63">
        <v>2.11</v>
      </c>
      <c r="BE263" s="63">
        <v>2.2200000000000002</v>
      </c>
      <c r="BF263" s="63">
        <v>2.15</v>
      </c>
      <c r="BG263" s="91" cm="1">
        <f t="array" aca="1" ref="BG263" ca="1">_FV(EE263,"Preço")</f>
        <v>1.92</v>
      </c>
      <c r="BH263" s="93" t="s">
        <v>260</v>
      </c>
      <c r="BI263" s="32" cm="1">
        <f t="array" aca="1" ref="BI263" ca="1">_FV(EE263,"Beta")</f>
        <v>1.2638</v>
      </c>
      <c r="BJ263" s="96" cm="1">
        <f t="array" aca="1" ref="BJ263" ca="1">_FV(EE263,"Variação (%)",TRUE)</f>
        <v>5.2359999999999993E-3</v>
      </c>
      <c r="BK263" s="49"/>
      <c r="BL263" s="49"/>
      <c r="BN263" s="32"/>
      <c r="BO263" s="20" cm="1">
        <f t="array" aca="1" ref="BO263" ca="1">_FV(EE263,"Baixo")</f>
        <v>1.83</v>
      </c>
      <c r="BP263" s="20" cm="1">
        <f t="array" aca="1" ref="BP263" ca="1">_FV(EE263,"Alto")</f>
        <v>1.96</v>
      </c>
      <c r="BQ263" s="32"/>
      <c r="BR263" s="74">
        <f ca="1">SQRT(22.5*(BG263/VLOOKUP(BH263,Fundamentus!A:U,3,FALSE))*(BG263/VLOOKUP(BH263,Fundamentus!A:U,4,FALSE)))</f>
        <v>227.68399153212331</v>
      </c>
      <c r="BT263" s="73">
        <f t="shared" ca="1" si="296"/>
        <v>-0.10697674418604651</v>
      </c>
      <c r="BU263" s="36">
        <f t="shared" si="297"/>
        <v>-0.18681318681318673</v>
      </c>
      <c r="BV263" s="8"/>
      <c r="BW263" s="72">
        <f t="shared" si="298"/>
        <v>0.97</v>
      </c>
      <c r="BX263" s="72">
        <f t="shared" si="299"/>
        <v>1.7198275862068968</v>
      </c>
      <c r="BY263" s="72">
        <f t="shared" si="300"/>
        <v>2.73</v>
      </c>
      <c r="BZ263" s="17"/>
      <c r="CA263" s="17"/>
      <c r="CB263" s="43">
        <f t="shared" si="301"/>
        <v>2.0998915988606299</v>
      </c>
      <c r="CC263" s="18">
        <f t="shared" si="302"/>
        <v>2.1786316776007482</v>
      </c>
      <c r="CD263" s="43">
        <f t="shared" si="303"/>
        <v>2.2573717563408664</v>
      </c>
      <c r="CE263" s="98">
        <f t="shared" ca="1" si="304"/>
        <v>-3.2846255901567298</v>
      </c>
      <c r="CF263" s="17"/>
      <c r="CG263" s="20">
        <f t="shared" si="305"/>
        <v>-0.59000000000000008</v>
      </c>
      <c r="CH263" s="20">
        <f t="shared" si="306"/>
        <v>0.18999999999999995</v>
      </c>
      <c r="CI263" s="20">
        <f t="shared" si="307"/>
        <v>1.17</v>
      </c>
      <c r="CJ263" s="49">
        <f t="shared" si="308"/>
        <v>1.95</v>
      </c>
      <c r="CK263" s="20">
        <f t="shared" si="309"/>
        <v>2.9299999999999997</v>
      </c>
      <c r="CL263" s="20">
        <f t="shared" si="310"/>
        <v>3.71</v>
      </c>
      <c r="CM263" s="20">
        <f t="shared" si="311"/>
        <v>4.6899999999999995</v>
      </c>
      <c r="CN263" s="2" cm="1">
        <f t="array" aca="1" ref="CN263" ca="1">MAX(_xlfn._xlws.FILTER(CG263:CM263,CG263:CM263&lt;BG263))</f>
        <v>1.17</v>
      </c>
      <c r="CO263" s="2" cm="1">
        <f t="array" aca="1" ref="CO263" ca="1">MIN(_xlfn._xlws.FILTER($CG263:$CM263,$CG263:$CM263&gt;BG263))</f>
        <v>1.95</v>
      </c>
      <c r="CP263" s="19">
        <f t="shared" ca="1" si="312"/>
        <v>0.66666666666666674</v>
      </c>
      <c r="CQ263" s="23">
        <f t="shared" ca="1" si="313"/>
        <v>-0.33333333333333337</v>
      </c>
      <c r="CR263" s="23">
        <f t="shared" ca="1" si="314"/>
        <v>-0.22222222222222224</v>
      </c>
      <c r="CS263" s="23">
        <f t="shared" ca="1" si="315"/>
        <v>-0.13333333333333336</v>
      </c>
      <c r="CT263" s="23">
        <f t="shared" ca="1" si="316"/>
        <v>-7.4074074074074084E-2</v>
      </c>
      <c r="CU263" s="23">
        <f t="shared" ref="CU263:CU270" ca="1" si="329">-$CP263/17</f>
        <v>-3.921568627450981E-2</v>
      </c>
      <c r="CV263" s="23">
        <f t="shared" ref="CV263:CV270" ca="1" si="330">-$CP263/33</f>
        <v>-2.0202020202020204E-2</v>
      </c>
      <c r="CW263" s="23">
        <f t="shared" ref="CW263:CW270" ca="1" si="331">-$CP263/65</f>
        <v>-1.0256410256410258E-2</v>
      </c>
      <c r="CX263" s="24">
        <f t="shared" ref="CX263:CX270" ca="1" si="332">-$CP263/65*-1</f>
        <v>1.0256410256410258E-2</v>
      </c>
      <c r="CY263" s="24">
        <f t="shared" ref="CY263:CY270" ca="1" si="333">-$CP263/33*-1</f>
        <v>2.0202020202020204E-2</v>
      </c>
      <c r="CZ263" s="24">
        <f t="shared" ref="CZ263:CZ270" ca="1" si="334">-$CP263/17*-1</f>
        <v>3.921568627450981E-2</v>
      </c>
      <c r="DA263" s="24">
        <f t="shared" ca="1" si="317"/>
        <v>7.4074074074074084E-2</v>
      </c>
      <c r="DB263" s="24">
        <f t="shared" ca="1" si="318"/>
        <v>0.13333333333333336</v>
      </c>
      <c r="DC263" s="24">
        <f t="shared" ca="1" si="319"/>
        <v>0.22222222222222224</v>
      </c>
      <c r="DD263" s="24">
        <f t="shared" ca="1" si="320"/>
        <v>0.33333333333333337</v>
      </c>
      <c r="DF263" s="19" cm="1">
        <f t="array" aca="1" ref="DF263" ca="1">MAX(_xlfn._xlws.FILTER(CQ263:DD263,CQ263:DD263&lt;BJ263))</f>
        <v>-1.0256410256410258E-2</v>
      </c>
      <c r="DG263" s="19" cm="1">
        <f t="array" aca="1" ref="DG263" ca="1">MIN(_xlfn._xlws.FILTER(CQ263:DD263,CQ263:DD263&gt;BJ263))</f>
        <v>1.0256410256410258E-2</v>
      </c>
      <c r="DH263" s="2" cm="1">
        <f t="array" aca="1" ref="DH263" ca="1">_FV(EE263,"Fechamento anterior",TRUE)</f>
        <v>1.91</v>
      </c>
      <c r="DI263" s="36">
        <f t="shared" ca="1" si="321"/>
        <v>0.75523560209424045</v>
      </c>
      <c r="DJ263" s="18">
        <f t="shared" ca="1" si="294"/>
        <v>1.8904102564102563</v>
      </c>
      <c r="DK263" s="18">
        <f t="shared" ca="1" si="295"/>
        <v>1.9295897435897436</v>
      </c>
      <c r="DL263" s="9"/>
      <c r="DM263" s="9"/>
      <c r="DN263" s="9"/>
      <c r="DO263" s="9"/>
      <c r="DP263" s="79">
        <v>1.5613088159058333E-2</v>
      </c>
      <c r="DQ263" s="79">
        <v>2.8623994958273613E-2</v>
      </c>
      <c r="DR263" s="79">
        <v>1.5613088159058333E-2</v>
      </c>
      <c r="DS263" s="79">
        <f t="shared" ca="1" si="322"/>
        <v>2.0512820512820516E-2</v>
      </c>
      <c r="DT263" s="47"/>
      <c r="DU263" s="43">
        <f t="shared" si="323"/>
        <v>3.9370039370059173E-2</v>
      </c>
      <c r="DV263" s="83">
        <f t="shared" ca="1" si="324"/>
        <v>1.6899</v>
      </c>
      <c r="DW263" s="83">
        <f t="shared" ca="1" si="325"/>
        <v>0.74020000000000008</v>
      </c>
      <c r="DX263" s="83">
        <f t="shared" ca="1" si="276"/>
        <v>0.94969999999999988</v>
      </c>
      <c r="DY263" s="67"/>
      <c r="DZ263" s="67"/>
      <c r="EA263" s="85"/>
      <c r="EB263" s="44">
        <v>920400</v>
      </c>
      <c r="EC263" s="44" cm="1">
        <f t="array" aca="1" ref="EC263" ca="1">_FV(EE263,"Volume")</f>
        <v>365600</v>
      </c>
      <c r="EE263" s="2" t="e" vm="265">
        <v>#VALUE!</v>
      </c>
      <c r="EG263" s="10" cm="1">
        <f t="array" aca="1" ref="EG263" ca="1">_FV(EE263,"Ações em circulação",TRUE)</f>
        <v>540540600</v>
      </c>
      <c r="EH263" s="21">
        <f>VLOOKUP(BH263,Fundamentus!A:U,5,FALSE)</f>
        <v>0.308</v>
      </c>
      <c r="EI263" s="2">
        <f t="shared" ca="1" si="326"/>
        <v>3369603740.2597404</v>
      </c>
      <c r="EJ263" s="20">
        <v>-14210829924.019482</v>
      </c>
      <c r="EK263" s="20">
        <f t="shared" ca="1" si="327"/>
        <v>-12690601606.566235</v>
      </c>
      <c r="EM263" s="40" t="str">
        <f>IF(VLOOKUP(BH263,Fundamentus!A:U,3,FALSE)&lt;15,"Bom",IF(VLOOKUP(BH263,Fundamentus!A:U,3,FALSE)&gt;15,"Ruim","n/a"))</f>
        <v>Bom</v>
      </c>
      <c r="EN263" s="36" t="str">
        <f>IF(VLOOKUP(BH263,Fundamentus!A:U,4,FALSE)&lt;1,"Baixo",IF(VLOOKUP(BH263,Fundamentus!A:U,4,FALSE)&lt;1.5,"Moderado",IF(VLOOKUP(BH263,Fundamentus!A:U,4,FALSE)&gt;1.5,"Alto","n/a")))</f>
        <v>Baixo</v>
      </c>
      <c r="EO263" s="20" t="str">
        <f>IF(VLOOKUP(BH263,Fundamentus!A:U,8,FALSE)&lt;0,"Risco elevado",IF(VLOOKUP(BH263,Fundamentus!A:U,8,FALSE)&lt;1,"Saudável",IF(VLOOKUP(BH263,Fundamentus!A:U,8,FALSE)&lt;3,"Estável",IF(VLOOKUP(BH263,Fundamentus!A:U,8,FALSE)&gt;3,"Alerta","n/a"))))</f>
        <v>Risco elevado</v>
      </c>
      <c r="EP263" s="36" t="str">
        <f t="shared" si="328"/>
        <v>Ruim</v>
      </c>
      <c r="EQ263" s="20" t="str">
        <f>IF(VLOOKUP(BH263,Fundamentus!A:U,12,FALSE)&lt;2,"Subvalorizada",IF(VLOOKUP(BH263,Fundamentus!A:U,12,FALSE)&lt;6,"Muita barata",IF(VLOOKUP(BH263,Fundamentus!A:U,12,FALSE)&lt;6,"Barata",IF(VLOOKUP(BH263,Fundamentus!A:U,12,FALSE)&lt;8,"Atrativa",IF(VLOOKUP(BH263,Fundamentus!A:U,12,FALSE)&gt;8,"Supervalorizada","n/a")))))</f>
        <v>Subvalorizada</v>
      </c>
      <c r="ES263" s="20" t="str">
        <f>IF(VLOOKUP(BH263,Fundamentus!A:U,17,FALSE)&lt;0.1,"Fraco retorno",IF(VLOOKUP(BH263,Fundamentus!A:U,17,FALSE)&gt;0.1,"Bom retorno","n/a"))</f>
        <v>Bom retorno</v>
      </c>
      <c r="ET263" s="20" t="str">
        <f>IF(VLOOKUP(BH263,Fundamentus!A:U,16,FALSE)&lt;0.1,"Ineficiente",IF(VLOOKUP(BH263,Fundamentus!A:U,16,FALSE)&gt;0.1,"Eficiente","n/a"))</f>
        <v>Ineficiente</v>
      </c>
      <c r="EU263" s="41" t="str">
        <f>IF(VLOOKUP(BH263,Fundamentus!A:U,16,FALSE)&lt;0.1,"Oper. Ineficiente",IF(VLOOKUP(BH263,Fundamentus!A:U,16,FALSE)&gt;0.1,"Oper.Eficiente","n/a"))</f>
        <v>Oper. Ineficiente</v>
      </c>
      <c r="EV263" s="42">
        <f>VLOOKUP(BH263,Fundamentus!A:U,14,FALSE)</f>
        <v>-3.7662</v>
      </c>
      <c r="EW263" s="20" t="str">
        <f>IF(VLOOKUP(BH263,Fundamentus!A:U,21,FALSE)&lt;0,"Negativo",IF(VLOOKUP(BH263,Fundamentus!A:U,21,FALSE)&lt;0.05,"Fraco",IF(VLOOKUP(BH263,Fundamentus!A:U,21,FALSE)&lt;0.1,"Bom",IF(VLOOKUP(BH263,Fundamentus!A:U,21,FALSE)&gt;0.1,"Muito bom","n/a"))))</f>
        <v>Negativo</v>
      </c>
      <c r="EY263" s="37" t="str">
        <f>IF(VLOOKUP(BH263,Fundamentus!A:U,15,FALSE)&gt;1,"Bom",IF(VLOOKUP(BH263,Fundamentus!A:U,15,FALSE)&lt;1,"Ruim","n/a"))</f>
        <v>Ruim</v>
      </c>
      <c r="EZ263" s="20" t="str">
        <f>IF(VLOOKUP(BH263,Fundamentus!A:U,20,FALSE)&lt;0.5,"Baixa",IF(VLOOKUP(BH263,Fundamentus!A:U,20,FALSE)&lt;1,"Moderada",IF(VLOOKUP(BH263,Fundamentus!A:U,20,FALSE)&lt;2,"Alerta",IF(VLOOKUP(BH263,Fundamentus!A:U,20,FALSE)&gt;2,"Alta","n/a"))))</f>
        <v>Baixa</v>
      </c>
    </row>
    <row r="264" spans="1:156" s="2" customFormat="1" ht="11.25" hidden="1" x14ac:dyDescent="0.2">
      <c r="A264" s="4">
        <v>13.95</v>
      </c>
      <c r="B264" s="4">
        <v>13.34</v>
      </c>
      <c r="C264" s="4">
        <v>13.08</v>
      </c>
      <c r="D264" s="4">
        <v>12.55</v>
      </c>
      <c r="E264" s="4">
        <v>16</v>
      </c>
      <c r="F264" s="4">
        <v>16.45</v>
      </c>
      <c r="G264" s="4">
        <v>17.3</v>
      </c>
      <c r="H264" s="4">
        <v>17.05</v>
      </c>
      <c r="I264" s="4">
        <v>17.100000000000001</v>
      </c>
      <c r="J264" s="4">
        <v>14.6</v>
      </c>
      <c r="K264" s="4">
        <v>14.17</v>
      </c>
      <c r="L264" s="4">
        <v>13.8</v>
      </c>
      <c r="M264" s="4">
        <v>13.77</v>
      </c>
      <c r="N264" s="4">
        <v>13.76</v>
      </c>
      <c r="O264" s="4">
        <v>13.82</v>
      </c>
      <c r="P264" s="4">
        <v>13.25</v>
      </c>
      <c r="Q264" s="4">
        <v>13.26</v>
      </c>
      <c r="R264" s="4">
        <v>13</v>
      </c>
      <c r="S264" s="4">
        <v>13</v>
      </c>
      <c r="T264" s="4">
        <v>13.22</v>
      </c>
      <c r="U264" s="4">
        <v>13.38</v>
      </c>
      <c r="V264" s="4">
        <v>12.41</v>
      </c>
      <c r="W264" s="4">
        <v>11.32</v>
      </c>
      <c r="X264" s="4">
        <v>10.1</v>
      </c>
      <c r="Y264" s="4">
        <v>9.8000000000000007</v>
      </c>
      <c r="Z264" s="4">
        <v>9.6999999999999993</v>
      </c>
      <c r="AA264" s="4">
        <v>10.08</v>
      </c>
      <c r="AB264" s="4">
        <v>10.01</v>
      </c>
      <c r="AC264" s="4">
        <v>9.5</v>
      </c>
      <c r="AD264" s="4">
        <v>8.42</v>
      </c>
      <c r="AE264" s="4">
        <v>7.82</v>
      </c>
      <c r="AF264" s="4">
        <v>7.61</v>
      </c>
      <c r="AG264" s="4">
        <v>6.7</v>
      </c>
      <c r="AH264" s="4">
        <v>8.1</v>
      </c>
      <c r="AI264" s="4">
        <v>8.4</v>
      </c>
      <c r="AJ264" s="4">
        <v>6.21</v>
      </c>
      <c r="AK264" s="4">
        <v>6.86</v>
      </c>
      <c r="AL264" s="4">
        <v>6.8</v>
      </c>
      <c r="AM264" s="4">
        <v>6.53</v>
      </c>
      <c r="AN264" s="4">
        <v>6.35</v>
      </c>
      <c r="AO264" s="4">
        <v>6.35</v>
      </c>
      <c r="AP264" s="4">
        <v>5.82</v>
      </c>
      <c r="AQ264" s="4">
        <v>5.53</v>
      </c>
      <c r="AR264" s="4">
        <v>6.9</v>
      </c>
      <c r="AS264" s="4">
        <v>6.75</v>
      </c>
      <c r="AT264" s="4">
        <v>6.79</v>
      </c>
      <c r="AU264" s="4">
        <v>7.0449999999999999</v>
      </c>
      <c r="AV264" s="4">
        <v>6.92</v>
      </c>
      <c r="AW264" s="4">
        <v>6.92</v>
      </c>
      <c r="AX264" s="4">
        <v>6.8</v>
      </c>
      <c r="AY264" s="12">
        <v>6.61</v>
      </c>
      <c r="AZ264" s="12">
        <v>6.72</v>
      </c>
      <c r="BA264" s="12">
        <v>6.57</v>
      </c>
      <c r="BB264" s="18">
        <v>6.37</v>
      </c>
      <c r="BC264" s="63">
        <v>6.19</v>
      </c>
      <c r="BD264" s="63">
        <v>6.04</v>
      </c>
      <c r="BE264" s="63">
        <v>6.01</v>
      </c>
      <c r="BF264" s="63">
        <v>5.99</v>
      </c>
      <c r="BG264" s="91" cm="1">
        <f t="array" aca="1" ref="BG264" ca="1">_FV(EE264,"Preço")</f>
        <v>6.01</v>
      </c>
      <c r="BH264" s="93" t="s">
        <v>261</v>
      </c>
      <c r="BI264" s="32" cm="1">
        <f t="array" aca="1" ref="BI264" ca="1">_FV(EE264,"Beta")</f>
        <v>1.3482000000000001</v>
      </c>
      <c r="BJ264" s="96" cm="1">
        <f t="array" aca="1" ref="BJ264" ca="1">_FV(EE264,"Variação (%)",TRUE)</f>
        <v>-4.9670000000000001E-3</v>
      </c>
      <c r="BK264" s="49"/>
      <c r="BL264" s="49"/>
      <c r="BN264" s="32"/>
      <c r="BO264" s="20" cm="1">
        <f t="array" aca="1" ref="BO264" ca="1">_FV(EE264,"Baixo")</f>
        <v>6.01</v>
      </c>
      <c r="BP264" s="20" cm="1">
        <f t="array" aca="1" ref="BP264" ca="1">_FV(EE264,"Alto")</f>
        <v>6.05</v>
      </c>
      <c r="BQ264" s="32"/>
      <c r="BR264" s="74" t="e">
        <f ca="1">SQRT(22.5*(BG264/VLOOKUP(BH264,Fundamentus!A:U,3,FALSE))*(BG264/VLOOKUP(BH264,Fundamentus!A:U,4,FALSE)))</f>
        <v>#NUM!</v>
      </c>
      <c r="BT264" s="73">
        <f t="shared" ca="1" si="296"/>
        <v>3.3388981636059386E-3</v>
      </c>
      <c r="BU264" s="36">
        <f t="shared" si="297"/>
        <v>-0.56917562724014337</v>
      </c>
      <c r="BV264" s="8"/>
      <c r="BW264" s="72">
        <f t="shared" si="298"/>
        <v>5.53</v>
      </c>
      <c r="BX264" s="72">
        <f t="shared" si="299"/>
        <v>9.9809482758620707</v>
      </c>
      <c r="BY264" s="72">
        <f t="shared" si="300"/>
        <v>17.3</v>
      </c>
      <c r="BZ264" s="17"/>
      <c r="CA264" s="17"/>
      <c r="CB264" s="43">
        <f t="shared" si="301"/>
        <v>5.7448759821625854</v>
      </c>
      <c r="CC264" s="18">
        <f t="shared" si="302"/>
        <v>5.9019587628866361</v>
      </c>
      <c r="CD264" s="43">
        <f t="shared" si="303"/>
        <v>6.0590415436106868</v>
      </c>
      <c r="CE264" s="98">
        <f t="shared" ca="1" si="304"/>
        <v>0.68779809356164301</v>
      </c>
      <c r="CF264" s="17"/>
      <c r="CG264" s="20">
        <f t="shared" si="305"/>
        <v>-9.8566666666666656</v>
      </c>
      <c r="CH264" s="20">
        <f t="shared" si="306"/>
        <v>-2.1633333333333322</v>
      </c>
      <c r="CI264" s="20">
        <f t="shared" si="307"/>
        <v>1.913333333333334</v>
      </c>
      <c r="CJ264" s="49">
        <f t="shared" si="308"/>
        <v>9.6066666666666674</v>
      </c>
      <c r="CK264" s="20">
        <f t="shared" si="309"/>
        <v>13.683333333333334</v>
      </c>
      <c r="CL264" s="20">
        <f t="shared" si="310"/>
        <v>21.376666666666665</v>
      </c>
      <c r="CM264" s="20">
        <f t="shared" si="311"/>
        <v>25.453333333333333</v>
      </c>
      <c r="CN264" s="2" cm="1">
        <f t="array" aca="1" ref="CN264" ca="1">MAX(_xlfn._xlws.FILTER(CG264:CM264,CG264:CM264&lt;BG264))</f>
        <v>1.913333333333334</v>
      </c>
      <c r="CO264" s="2" cm="1">
        <f t="array" aca="1" ref="CO264" ca="1">MIN(_xlfn._xlws.FILTER($CG264:$CM264,$CG264:$CM264&gt;BG264))</f>
        <v>9.6066666666666674</v>
      </c>
      <c r="CP264" s="19">
        <f t="shared" ca="1" si="312"/>
        <v>4.0209059233449462</v>
      </c>
      <c r="CQ264" s="23">
        <f t="shared" ca="1" si="313"/>
        <v>-2.0104529616724731</v>
      </c>
      <c r="CR264" s="23">
        <f t="shared" ca="1" si="314"/>
        <v>-1.3403019744483153</v>
      </c>
      <c r="CS264" s="23">
        <f t="shared" ca="1" si="315"/>
        <v>-0.80418118466898925</v>
      </c>
      <c r="CT264" s="23">
        <f t="shared" ca="1" si="316"/>
        <v>-0.44676732481610515</v>
      </c>
      <c r="CU264" s="23">
        <f t="shared" ca="1" si="329"/>
        <v>-0.23652387784382037</v>
      </c>
      <c r="CV264" s="23">
        <f t="shared" ca="1" si="330"/>
        <v>-0.12184563404075595</v>
      </c>
      <c r="CW264" s="23">
        <f t="shared" ca="1" si="331"/>
        <v>-6.1860091128383789E-2</v>
      </c>
      <c r="CX264" s="24">
        <f t="shared" ca="1" si="332"/>
        <v>6.1860091128383789E-2</v>
      </c>
      <c r="CY264" s="24">
        <f t="shared" ca="1" si="333"/>
        <v>0.12184563404075595</v>
      </c>
      <c r="CZ264" s="24">
        <f t="shared" ca="1" si="334"/>
        <v>0.23652387784382037</v>
      </c>
      <c r="DA264" s="24">
        <f t="shared" ca="1" si="317"/>
        <v>0.44676732481610515</v>
      </c>
      <c r="DB264" s="24">
        <f t="shared" ca="1" si="318"/>
        <v>0.80418118466898925</v>
      </c>
      <c r="DC264" s="24">
        <f t="shared" ca="1" si="319"/>
        <v>1.3403019744483153</v>
      </c>
      <c r="DD264" s="24">
        <f t="shared" ca="1" si="320"/>
        <v>2.0104529616724731</v>
      </c>
      <c r="DF264" s="19" cm="1">
        <f t="array" aca="1" ref="DF264" ca="1">MAX(_xlfn._xlws.FILTER(CQ264:DD264,CQ264:DD264&lt;BJ264))</f>
        <v>-6.1860091128383789E-2</v>
      </c>
      <c r="DG264" s="19" cm="1">
        <f t="array" aca="1" ref="DG264" ca="1">MIN(_xlfn._xlws.FILTER(CQ264:DD264,CQ264:DD264&gt;BJ264))</f>
        <v>6.1860091128383789E-2</v>
      </c>
      <c r="DH264" s="2" cm="1">
        <f t="array" aca="1" ref="DH264" ca="1">_FV(EE264,"Fechamento anterior",TRUE)</f>
        <v>6.04</v>
      </c>
      <c r="DI264" s="36">
        <f t="shared" ca="1" si="321"/>
        <v>0.45985386275207418</v>
      </c>
      <c r="DJ264" s="18">
        <f t="shared" ca="1" si="294"/>
        <v>5.6663650495845621</v>
      </c>
      <c r="DK264" s="18">
        <f t="shared" ca="1" si="295"/>
        <v>6.413634950415438</v>
      </c>
      <c r="DL264" s="9"/>
      <c r="DM264" s="9"/>
      <c r="DN264" s="9"/>
      <c r="DO264" s="9"/>
      <c r="DP264" s="79">
        <v>0.42260596546310802</v>
      </c>
      <c r="DQ264" s="79">
        <v>0.42260596546310802</v>
      </c>
      <c r="DR264" s="79">
        <v>0.42260596546310802</v>
      </c>
      <c r="DS264" s="79">
        <f t="shared" ca="1" si="322"/>
        <v>0.12372018225676758</v>
      </c>
      <c r="DT264" s="47"/>
      <c r="DU264" s="43">
        <f t="shared" si="323"/>
        <v>7.854139036202519E-2</v>
      </c>
      <c r="DV264" s="83">
        <f t="shared" ca="1" si="324"/>
        <v>1.7743</v>
      </c>
      <c r="DW264" s="83">
        <f t="shared" ca="1" si="325"/>
        <v>1.8449</v>
      </c>
      <c r="DX264" s="83">
        <f t="shared" ca="1" si="276"/>
        <v>-7.0599999999999996E-2</v>
      </c>
      <c r="DY264" s="67"/>
      <c r="DZ264" s="67"/>
      <c r="EA264" s="85"/>
      <c r="EB264" s="44">
        <v>50700</v>
      </c>
      <c r="EC264" s="44" cm="1">
        <f t="array" aca="1" ref="EC264" ca="1">_FV(EE264,"Volume")</f>
        <v>60500</v>
      </c>
      <c r="EE264" s="2" t="e" vm="266">
        <v>#VALUE!</v>
      </c>
      <c r="EG264" s="10" cm="1">
        <f t="array" aca="1" ref="EG264" ca="1">_FV(EE264,"Ações em circulação",TRUE)</f>
        <v>114333800</v>
      </c>
      <c r="EH264" s="21">
        <f>VLOOKUP(BH264,Fundamentus!A:U,5,FALSE)</f>
        <v>0.60599999999999998</v>
      </c>
      <c r="EI264" s="2">
        <f t="shared" ca="1" si="326"/>
        <v>1133904518.1518152</v>
      </c>
      <c r="EJ264" s="20">
        <v>-9380088.3409240935</v>
      </c>
      <c r="EK264" s="20">
        <f t="shared" ca="1" si="327"/>
        <v>-9411407.5006600656</v>
      </c>
      <c r="EM264" s="40" t="str">
        <f>IF(VLOOKUP(BH264,Fundamentus!A:U,3,FALSE)&lt;15,"Bom",IF(VLOOKUP(BH264,Fundamentus!A:U,3,FALSE)&gt;15,"Ruim","n/a"))</f>
        <v>Bom</v>
      </c>
      <c r="EN264" s="36" t="str">
        <f>IF(VLOOKUP(BH264,Fundamentus!A:U,4,FALSE)&lt;1,"Baixo",IF(VLOOKUP(BH264,Fundamentus!A:U,4,FALSE)&lt;1.5,"Moderado",IF(VLOOKUP(BH264,Fundamentus!A:U,4,FALSE)&gt;1.5,"Alto","n/a")))</f>
        <v>Baixo</v>
      </c>
      <c r="EO264" s="20" t="str">
        <f>IF(VLOOKUP(BH264,Fundamentus!A:U,8,FALSE)&lt;0,"Risco elevado",IF(VLOOKUP(BH264,Fundamentus!A:U,8,FALSE)&lt;1,"Saudável",IF(VLOOKUP(BH264,Fundamentus!A:U,8,FALSE)&lt;3,"Estável",IF(VLOOKUP(BH264,Fundamentus!A:U,8,FALSE)&gt;3,"Alerta","n/a"))))</f>
        <v>Alerta</v>
      </c>
      <c r="EP264" s="36" t="str">
        <f t="shared" si="328"/>
        <v>Ruim</v>
      </c>
      <c r="EQ264" s="20" t="str">
        <f>IF(VLOOKUP(BH264,Fundamentus!A:U,12,FALSE)&lt;2,"Subvalorizada",IF(VLOOKUP(BH264,Fundamentus!A:U,12,FALSE)&lt;6,"Muita barata",IF(VLOOKUP(BH264,Fundamentus!A:U,12,FALSE)&lt;6,"Barata",IF(VLOOKUP(BH264,Fundamentus!A:U,12,FALSE)&lt;8,"Atrativa",IF(VLOOKUP(BH264,Fundamentus!A:U,12,FALSE)&gt;8,"Supervalorizada","n/a")))))</f>
        <v>Muita barata</v>
      </c>
      <c r="ES264" s="20" t="str">
        <f>IF(VLOOKUP(BH264,Fundamentus!A:U,17,FALSE)&lt;0.1,"Fraco retorno",IF(VLOOKUP(BH264,Fundamentus!A:U,17,FALSE)&gt;0.1,"Bom retorno","n/a"))</f>
        <v>Fraco retorno</v>
      </c>
      <c r="ET264" s="20" t="str">
        <f>IF(VLOOKUP(BH264,Fundamentus!A:U,16,FALSE)&lt;0.1,"Ineficiente",IF(VLOOKUP(BH264,Fundamentus!A:U,16,FALSE)&gt;0.1,"Eficiente","n/a"))</f>
        <v>Ineficiente</v>
      </c>
      <c r="EU264" s="41" t="str">
        <f>IF(VLOOKUP(BH264,Fundamentus!A:U,16,FALSE)&lt;0.1,"Oper. Ineficiente",IF(VLOOKUP(BH264,Fundamentus!A:U,16,FALSE)&gt;0.1,"Oper.Eficiente","n/a"))</f>
        <v>Oper. Ineficiente</v>
      </c>
      <c r="EV264" s="42">
        <f>VLOOKUP(BH264,Fundamentus!A:U,14,FALSE)</f>
        <v>-8.3000000000000001E-3</v>
      </c>
      <c r="EW264" s="20" t="str">
        <f>IF(VLOOKUP(BH264,Fundamentus!A:U,21,FALSE)&lt;0,"Negativo",IF(VLOOKUP(BH264,Fundamentus!A:U,21,FALSE)&lt;0.05,"Fraco",IF(VLOOKUP(BH264,Fundamentus!A:U,21,FALSE)&lt;0.1,"Bom",IF(VLOOKUP(BH264,Fundamentus!A:U,21,FALSE)&gt;0.1,"Muito bom","n/a"))))</f>
        <v>Muito bom</v>
      </c>
      <c r="EY264" s="37" t="str">
        <f>IF(VLOOKUP(BH264,Fundamentus!A:U,15,FALSE)&gt;1,"Bom",IF(VLOOKUP(BH264,Fundamentus!A:U,15,FALSE)&lt;1,"Ruim","n/a"))</f>
        <v>Bom</v>
      </c>
      <c r="EZ264" s="20" t="str">
        <f>IF(VLOOKUP(BH264,Fundamentus!A:U,20,FALSE)&lt;0.5,"Baixa",IF(VLOOKUP(BH264,Fundamentus!A:U,20,FALSE)&lt;1,"Moderada",IF(VLOOKUP(BH264,Fundamentus!A:U,20,FALSE)&lt;2,"Alerta",IF(VLOOKUP(BH264,Fundamentus!A:U,20,FALSE)&gt;2,"Alta","n/a"))))</f>
        <v>Baixa</v>
      </c>
    </row>
    <row r="265" spans="1:156" s="2" customFormat="1" ht="11.25" hidden="1" x14ac:dyDescent="0.2">
      <c r="A265" s="4">
        <v>17.399999999999999</v>
      </c>
      <c r="B265" s="4">
        <v>16.7</v>
      </c>
      <c r="C265" s="4">
        <v>14.03</v>
      </c>
      <c r="D265" s="4">
        <v>13.93</v>
      </c>
      <c r="E265" s="4">
        <v>13.25</v>
      </c>
      <c r="F265" s="4">
        <v>13.49</v>
      </c>
      <c r="G265" s="4">
        <v>13.97</v>
      </c>
      <c r="H265" s="4">
        <v>13.97</v>
      </c>
      <c r="I265" s="4">
        <v>12.84</v>
      </c>
      <c r="J265" s="4">
        <v>13.13</v>
      </c>
      <c r="K265" s="4">
        <v>13.25</v>
      </c>
      <c r="L265" s="4">
        <v>13.5</v>
      </c>
      <c r="M265" s="4">
        <v>13.5</v>
      </c>
      <c r="N265" s="4">
        <v>13</v>
      </c>
      <c r="O265" s="4">
        <v>12.6</v>
      </c>
      <c r="P265" s="4">
        <v>11.65</v>
      </c>
      <c r="Q265" s="4">
        <v>11.51</v>
      </c>
      <c r="R265" s="4">
        <v>11</v>
      </c>
      <c r="S265" s="4">
        <v>11.6</v>
      </c>
      <c r="T265" s="4">
        <v>11</v>
      </c>
      <c r="U265" s="4">
        <v>11.61</v>
      </c>
      <c r="V265" s="4">
        <v>11.13</v>
      </c>
      <c r="W265" s="4">
        <v>11.05</v>
      </c>
      <c r="X265" s="4">
        <v>11</v>
      </c>
      <c r="Y265" s="4">
        <v>8.6999999999999993</v>
      </c>
      <c r="Z265" s="4">
        <v>7.98</v>
      </c>
      <c r="AA265" s="4">
        <v>7.99</v>
      </c>
      <c r="AB265" s="4">
        <v>8</v>
      </c>
      <c r="AC265" s="4">
        <v>7.5</v>
      </c>
      <c r="AD265" s="4">
        <v>7.1</v>
      </c>
      <c r="AE265" s="4">
        <v>6.55</v>
      </c>
      <c r="AF265" s="4">
        <v>6.41</v>
      </c>
      <c r="AG265" s="4">
        <v>6.99</v>
      </c>
      <c r="AH265" s="4">
        <v>6.97</v>
      </c>
      <c r="AI265" s="4">
        <v>6.96</v>
      </c>
      <c r="AJ265" s="4">
        <v>7.01</v>
      </c>
      <c r="AK265" s="4">
        <v>6.9</v>
      </c>
      <c r="AL265" s="4">
        <v>7.3</v>
      </c>
      <c r="AM265" s="4">
        <v>7.25</v>
      </c>
      <c r="AN265" s="4">
        <v>8.5500000000000007</v>
      </c>
      <c r="AO265" s="4">
        <v>7.25</v>
      </c>
      <c r="AP265" s="4">
        <v>7.12</v>
      </c>
      <c r="AQ265" s="4">
        <v>6.84</v>
      </c>
      <c r="AR265" s="4">
        <v>6.6</v>
      </c>
      <c r="AS265" s="4">
        <v>6.6</v>
      </c>
      <c r="AT265" s="4">
        <v>6.5</v>
      </c>
      <c r="AU265" s="4">
        <v>6.2949999999999999</v>
      </c>
      <c r="AV265" s="4">
        <v>6.35</v>
      </c>
      <c r="AW265" s="4">
        <v>6.09</v>
      </c>
      <c r="AX265" s="4">
        <v>6.05</v>
      </c>
      <c r="AY265" s="12">
        <v>6.09</v>
      </c>
      <c r="AZ265" s="12">
        <v>6.2</v>
      </c>
      <c r="BA265" s="12">
        <v>5.93</v>
      </c>
      <c r="BB265" s="18">
        <v>5.97</v>
      </c>
      <c r="BC265" s="63">
        <v>5.95</v>
      </c>
      <c r="BD265" s="63">
        <v>5.13</v>
      </c>
      <c r="BE265" s="63">
        <v>5.21</v>
      </c>
      <c r="BF265" s="63">
        <v>5.0999999999999996</v>
      </c>
      <c r="BG265" s="91" cm="1">
        <f t="array" aca="1" ref="BG265" ca="1">_FV(EE265,"Preço")</f>
        <v>5.08</v>
      </c>
      <c r="BH265" s="93" t="s">
        <v>262</v>
      </c>
      <c r="BI265" s="32" cm="1">
        <f t="array" aca="1" ref="BI265" ca="1">_FV(EE265,"Beta")</f>
        <v>1.2302999999999999</v>
      </c>
      <c r="BJ265" s="96" cm="1">
        <f t="array" aca="1" ref="BJ265" ca="1">_FV(EE265,"Variação (%)",TRUE)</f>
        <v>0</v>
      </c>
      <c r="BK265" s="49"/>
      <c r="BL265" s="49"/>
      <c r="BN265" s="32"/>
      <c r="BO265" s="20" cm="1">
        <f t="array" aca="1" ref="BO265" ca="1">_FV(EE265,"Baixo")</f>
        <v>5.08</v>
      </c>
      <c r="BP265" s="20" cm="1">
        <f t="array" aca="1" ref="BP265" ca="1">_FV(EE265,"Alto")</f>
        <v>5.08</v>
      </c>
      <c r="BQ265" s="32"/>
      <c r="BR265" s="74" t="e">
        <f ca="1">SQRT(22.5*(BG265/VLOOKUP(BH265,Fundamentus!A:U,3,FALSE))*(BG265/VLOOKUP(BH265,Fundamentus!A:U,4,FALSE)))</f>
        <v>#NUM!</v>
      </c>
      <c r="BT265" s="73">
        <f t="shared" ca="1" si="296"/>
        <v>-3.9215686274508971E-3</v>
      </c>
      <c r="BU265" s="36">
        <f t="shared" si="297"/>
        <v>-0.7005747126436781</v>
      </c>
      <c r="BV265" s="8"/>
      <c r="BW265" s="72">
        <f t="shared" si="298"/>
        <v>5.0999999999999996</v>
      </c>
      <c r="BX265" s="72">
        <f t="shared" si="299"/>
        <v>9.3025000000000038</v>
      </c>
      <c r="BY265" s="72">
        <f t="shared" si="300"/>
        <v>17.399999999999999</v>
      </c>
      <c r="BZ265" s="17"/>
      <c r="CA265" s="17"/>
      <c r="CB265" s="43">
        <f t="shared" si="301"/>
        <v>4.0318163728531493</v>
      </c>
      <c r="CC265" s="18">
        <f t="shared" si="302"/>
        <v>4.7321555763824108</v>
      </c>
      <c r="CD265" s="43">
        <f t="shared" si="303"/>
        <v>5.4324947799116723</v>
      </c>
      <c r="CE265" s="98">
        <f t="shared" ca="1" si="304"/>
        <v>0.49667992576265318</v>
      </c>
      <c r="CF265" s="17"/>
      <c r="CG265" s="20">
        <f t="shared" si="305"/>
        <v>-11.299999999999995</v>
      </c>
      <c r="CH265" s="20">
        <f t="shared" si="306"/>
        <v>-3.0999999999999979</v>
      </c>
      <c r="CI265" s="20">
        <f t="shared" si="307"/>
        <v>1.0000000000000036</v>
      </c>
      <c r="CJ265" s="49">
        <f t="shared" si="308"/>
        <v>9.2000000000000011</v>
      </c>
      <c r="CK265" s="20">
        <f t="shared" si="309"/>
        <v>13.300000000000002</v>
      </c>
      <c r="CL265" s="20">
        <f t="shared" si="310"/>
        <v>21.5</v>
      </c>
      <c r="CM265" s="20">
        <f t="shared" si="311"/>
        <v>25.6</v>
      </c>
      <c r="CN265" s="2" cm="1">
        <f t="array" aca="1" ref="CN265" ca="1">MAX(_xlfn._xlws.FILTER(CG265:CM265,CG265:CM265&lt;BG265))</f>
        <v>1.0000000000000036</v>
      </c>
      <c r="CO265" s="2" cm="1">
        <f t="array" aca="1" ref="CO265" ca="1">MIN(_xlfn._xlws.FILTER($CG265:$CM265,$CG265:$CM265&gt;BG265))</f>
        <v>9.2000000000000011</v>
      </c>
      <c r="CP265" s="19">
        <f t="shared" ca="1" si="312"/>
        <v>8.1999999999999691</v>
      </c>
      <c r="CQ265" s="23">
        <f t="shared" ca="1" si="313"/>
        <v>-4.0999999999999845</v>
      </c>
      <c r="CR265" s="23">
        <f t="shared" ca="1" si="314"/>
        <v>-2.7333333333333232</v>
      </c>
      <c r="CS265" s="23">
        <f t="shared" ca="1" si="315"/>
        <v>-1.6399999999999939</v>
      </c>
      <c r="CT265" s="23">
        <f t="shared" ca="1" si="316"/>
        <v>-0.91111111111110765</v>
      </c>
      <c r="CU265" s="23">
        <f t="shared" ca="1" si="329"/>
        <v>-0.48235294117646876</v>
      </c>
      <c r="CV265" s="23">
        <f t="shared" ca="1" si="330"/>
        <v>-0.24848484848484756</v>
      </c>
      <c r="CW265" s="23">
        <f t="shared" ca="1" si="331"/>
        <v>-0.12615384615384567</v>
      </c>
      <c r="CX265" s="24">
        <f t="shared" ca="1" si="332"/>
        <v>0.12615384615384567</v>
      </c>
      <c r="CY265" s="24">
        <f t="shared" ca="1" si="333"/>
        <v>0.24848484848484756</v>
      </c>
      <c r="CZ265" s="24">
        <f t="shared" ca="1" si="334"/>
        <v>0.48235294117646876</v>
      </c>
      <c r="DA265" s="24">
        <f t="shared" ca="1" si="317"/>
        <v>0.91111111111110765</v>
      </c>
      <c r="DB265" s="24">
        <f t="shared" ca="1" si="318"/>
        <v>1.6399999999999939</v>
      </c>
      <c r="DC265" s="24">
        <f t="shared" ca="1" si="319"/>
        <v>2.7333333333333232</v>
      </c>
      <c r="DD265" s="24">
        <f t="shared" ca="1" si="320"/>
        <v>4.0999999999999845</v>
      </c>
      <c r="DF265" s="19" cm="1">
        <f t="array" aca="1" ref="DF265" ca="1">MAX(_xlfn._xlws.FILTER(CQ265:DD265,CQ265:DD265&lt;BJ265))</f>
        <v>-0.12615384615384567</v>
      </c>
      <c r="DG265" s="19" cm="1">
        <f t="array" aca="1" ref="DG265" ca="1">MIN(_xlfn._xlws.FILTER(CQ265:DD265,CQ265:DD265&gt;BJ265))</f>
        <v>0.12615384615384567</v>
      </c>
      <c r="DH265" s="2" cm="1">
        <f t="array" aca="1" ref="DH265" ca="1">_FV(EE265,"Fechamento anterior",TRUE)</f>
        <v>5.08</v>
      </c>
      <c r="DI265" s="36">
        <f t="shared" ca="1" si="321"/>
        <v>0.5</v>
      </c>
      <c r="DJ265" s="18">
        <f t="shared" ca="1" si="294"/>
        <v>4.4391384615384641</v>
      </c>
      <c r="DK265" s="18">
        <f t="shared" ca="1" si="295"/>
        <v>5.720861538461536</v>
      </c>
      <c r="DL265" s="9"/>
      <c r="DM265" s="9"/>
      <c r="DN265" s="9"/>
      <c r="DO265" s="9"/>
      <c r="DP265" s="79">
        <v>0.11168451801363188</v>
      </c>
      <c r="DQ265" s="79">
        <v>0.24201183431952716</v>
      </c>
      <c r="DR265" s="79">
        <v>0.25230769230769229</v>
      </c>
      <c r="DS265" s="79">
        <f t="shared" ca="1" si="322"/>
        <v>0.25230769230769134</v>
      </c>
      <c r="DT265" s="47"/>
      <c r="DU265" s="43">
        <f t="shared" si="323"/>
        <v>0.3501696017646308</v>
      </c>
      <c r="DV265" s="83">
        <f t="shared" ca="1" si="324"/>
        <v>1.6563999999999999</v>
      </c>
      <c r="DW265" s="83">
        <f t="shared" ca="1" si="325"/>
        <v>1.2302999999999999</v>
      </c>
      <c r="DX265" s="83">
        <f t="shared" ca="1" si="276"/>
        <v>0.42609999999999992</v>
      </c>
      <c r="DY265" s="67"/>
      <c r="DZ265" s="67"/>
      <c r="EA265" s="85"/>
      <c r="EB265" s="44">
        <v>600</v>
      </c>
      <c r="EC265" s="44" cm="1">
        <f t="array" aca="1" ref="EC265" ca="1">_FV(EE265,"Volume")</f>
        <v>100</v>
      </c>
      <c r="EE265" s="2" t="e" vm="267">
        <v>#VALUE!</v>
      </c>
      <c r="EG265" s="10" cm="1">
        <f t="array" aca="1" ref="EG265" ca="1">_FV(EE265,"Ações em circulação",TRUE)</f>
        <v>5783210</v>
      </c>
      <c r="EH265" s="21">
        <f>VLOOKUP(BH265,Fundamentus!A:U,5,FALSE)</f>
        <v>3.1E-2</v>
      </c>
      <c r="EI265" s="2">
        <f t="shared" ca="1" si="326"/>
        <v>947700219.35483873</v>
      </c>
      <c r="EJ265" s="20">
        <v>-24642071.254838709</v>
      </c>
      <c r="EK265" s="20">
        <f t="shared" ca="1" si="327"/>
        <v>-24545435.681290321</v>
      </c>
      <c r="EM265" s="40" t="str">
        <f>IF(VLOOKUP(BH265,Fundamentus!A:U,3,FALSE)&lt;15,"Bom",IF(VLOOKUP(BH265,Fundamentus!A:U,3,FALSE)&gt;15,"Ruim","n/a"))</f>
        <v>Bom</v>
      </c>
      <c r="EN265" s="36" t="str">
        <f>IF(VLOOKUP(BH265,Fundamentus!A:U,4,FALSE)&lt;1,"Baixo",IF(VLOOKUP(BH265,Fundamentus!A:U,4,FALSE)&lt;1.5,"Moderado",IF(VLOOKUP(BH265,Fundamentus!A:U,4,FALSE)&gt;1.5,"Alto","n/a")))</f>
        <v>Alto</v>
      </c>
      <c r="EO265" s="20" t="str">
        <f>IF(VLOOKUP(BH265,Fundamentus!A:U,8,FALSE)&lt;0,"Risco elevado",IF(VLOOKUP(BH265,Fundamentus!A:U,8,FALSE)&lt;1,"Saudável",IF(VLOOKUP(BH265,Fundamentus!A:U,8,FALSE)&lt;3,"Estável",IF(VLOOKUP(BH265,Fundamentus!A:U,8,FALSE)&gt;3,"Alerta","n/a"))))</f>
        <v>Saudável</v>
      </c>
      <c r="EP265" s="36" t="str">
        <f t="shared" si="328"/>
        <v>Ruim</v>
      </c>
      <c r="EQ265" s="20" t="str">
        <f>IF(VLOOKUP(BH265,Fundamentus!A:U,12,FALSE)&lt;2,"Subvalorizada",IF(VLOOKUP(BH265,Fundamentus!A:U,12,FALSE)&lt;6,"Muita barata",IF(VLOOKUP(BH265,Fundamentus!A:U,12,FALSE)&lt;6,"Barata",IF(VLOOKUP(BH265,Fundamentus!A:U,12,FALSE)&lt;8,"Atrativa",IF(VLOOKUP(BH265,Fundamentus!A:U,12,FALSE)&gt;8,"Supervalorizada","n/a")))))</f>
        <v>Atrativa</v>
      </c>
      <c r="ES265" s="20" t="str">
        <f>IF(VLOOKUP(BH265,Fundamentus!A:U,17,FALSE)&lt;0.1,"Fraco retorno",IF(VLOOKUP(BH265,Fundamentus!A:U,17,FALSE)&gt;0.1,"Bom retorno","n/a"))</f>
        <v>Fraco retorno</v>
      </c>
      <c r="ET265" s="20" t="str">
        <f>IF(VLOOKUP(BH265,Fundamentus!A:U,16,FALSE)&lt;0.1,"Ineficiente",IF(VLOOKUP(BH265,Fundamentus!A:U,16,FALSE)&gt;0.1,"Eficiente","n/a"))</f>
        <v>Eficiente</v>
      </c>
      <c r="EU265" s="41" t="str">
        <f>IF(VLOOKUP(BH265,Fundamentus!A:U,16,FALSE)&lt;0.1,"Oper. Ineficiente",IF(VLOOKUP(BH265,Fundamentus!A:U,16,FALSE)&gt;0.1,"Oper.Eficiente","n/a"))</f>
        <v>Oper.Eficiente</v>
      </c>
      <c r="EV265" s="42">
        <f>VLOOKUP(BH265,Fundamentus!A:U,14,FALSE)</f>
        <v>-2.5899999999999999E-2</v>
      </c>
      <c r="EW265" s="20" t="str">
        <f>IF(VLOOKUP(BH265,Fundamentus!A:U,21,FALSE)&lt;0,"Negativo",IF(VLOOKUP(BH265,Fundamentus!A:U,21,FALSE)&lt;0.05,"Fraco",IF(VLOOKUP(BH265,Fundamentus!A:U,21,FALSE)&lt;0.1,"Bom",IF(VLOOKUP(BH265,Fundamentus!A:U,21,FALSE)&gt;0.1,"Muito bom","n/a"))))</f>
        <v>Bom</v>
      </c>
      <c r="EY265" s="37" t="str">
        <f>IF(VLOOKUP(BH265,Fundamentus!A:U,15,FALSE)&gt;1,"Bom",IF(VLOOKUP(BH265,Fundamentus!A:U,15,FALSE)&lt;1,"Ruim","n/a"))</f>
        <v>Bom</v>
      </c>
      <c r="EZ265" s="20" t="str">
        <f>IF(VLOOKUP(BH265,Fundamentus!A:U,20,FALSE)&lt;0.5,"Baixa",IF(VLOOKUP(BH265,Fundamentus!A:U,20,FALSE)&lt;1,"Moderada",IF(VLOOKUP(BH265,Fundamentus!A:U,20,FALSE)&lt;2,"Alerta",IF(VLOOKUP(BH265,Fundamentus!A:U,20,FALSE)&gt;2,"Alta","n/a"))))</f>
        <v>Alta</v>
      </c>
    </row>
    <row r="266" spans="1:156" s="2" customFormat="1" ht="11.25" hidden="1" x14ac:dyDescent="0.2">
      <c r="A266" s="4">
        <v>1.61</v>
      </c>
      <c r="B266" s="4">
        <v>1.7</v>
      </c>
      <c r="C266" s="4">
        <v>1.71</v>
      </c>
      <c r="D266" s="4">
        <v>1.63</v>
      </c>
      <c r="E266" s="4">
        <v>4.54</v>
      </c>
      <c r="F266" s="4">
        <v>4.2699999999999996</v>
      </c>
      <c r="G266" s="4">
        <v>3.48</v>
      </c>
      <c r="H266" s="4">
        <v>2.84</v>
      </c>
      <c r="I266" s="4">
        <v>2.83</v>
      </c>
      <c r="J266" s="4">
        <v>2.94</v>
      </c>
      <c r="K266" s="4">
        <v>3.01</v>
      </c>
      <c r="L266" s="4">
        <v>2.85</v>
      </c>
      <c r="M266" s="4">
        <v>2.98</v>
      </c>
      <c r="N266" s="4">
        <v>2.65</v>
      </c>
      <c r="O266" s="4">
        <v>3.02</v>
      </c>
      <c r="P266" s="4">
        <v>2.82</v>
      </c>
      <c r="Q266" s="4">
        <v>3.6</v>
      </c>
      <c r="R266" s="4">
        <v>4.7</v>
      </c>
      <c r="S266" s="4">
        <v>7.56</v>
      </c>
      <c r="T266" s="4">
        <v>7.35</v>
      </c>
      <c r="U266" s="4">
        <v>4.8899999999999997</v>
      </c>
      <c r="V266" s="4">
        <v>4.96</v>
      </c>
      <c r="W266" s="4">
        <v>4.7</v>
      </c>
      <c r="X266" s="4">
        <v>4.53</v>
      </c>
      <c r="Y266" s="4">
        <v>4.3099999999999996</v>
      </c>
      <c r="Z266" s="4">
        <v>4.07</v>
      </c>
      <c r="AA266" s="4">
        <v>3.82</v>
      </c>
      <c r="AB266" s="4">
        <v>4.25</v>
      </c>
      <c r="AC266" s="4">
        <v>3.96</v>
      </c>
      <c r="AD266" s="4">
        <v>4.1100000000000003</v>
      </c>
      <c r="AE266" s="4">
        <v>4.46</v>
      </c>
      <c r="AF266" s="4">
        <v>4.97</v>
      </c>
      <c r="AG266" s="4">
        <v>5.42</v>
      </c>
      <c r="AH266" s="4">
        <v>5.6</v>
      </c>
      <c r="AI266" s="4">
        <v>6.5</v>
      </c>
      <c r="AJ266" s="4">
        <v>5.4</v>
      </c>
      <c r="AK266" s="4">
        <v>4.82</v>
      </c>
      <c r="AL266" s="4">
        <v>4.7</v>
      </c>
      <c r="AM266" s="4">
        <v>4.01</v>
      </c>
      <c r="AN266" s="4">
        <v>3.83</v>
      </c>
      <c r="AO266" s="4">
        <v>3.28</v>
      </c>
      <c r="AP266" s="4">
        <v>3.6</v>
      </c>
      <c r="AQ266" s="4">
        <v>3.45</v>
      </c>
      <c r="AR266" s="4">
        <v>3.12</v>
      </c>
      <c r="AS266" s="4">
        <v>3.21</v>
      </c>
      <c r="AT266" s="4">
        <v>3.36</v>
      </c>
      <c r="AU266" s="4">
        <v>3.36</v>
      </c>
      <c r="AV266" s="4">
        <v>3.3</v>
      </c>
      <c r="AW266" s="4">
        <v>3.02</v>
      </c>
      <c r="AX266" s="4">
        <v>2.7</v>
      </c>
      <c r="AY266" s="12">
        <v>2.76</v>
      </c>
      <c r="AZ266" s="12">
        <v>2.89</v>
      </c>
      <c r="BA266" s="12">
        <v>2.56</v>
      </c>
      <c r="BB266" s="18">
        <v>2.63</v>
      </c>
      <c r="BC266" s="63">
        <v>2.88</v>
      </c>
      <c r="BD266" s="63">
        <v>2.79</v>
      </c>
      <c r="BE266" s="63">
        <v>2.72</v>
      </c>
      <c r="BF266" s="63">
        <v>2.6</v>
      </c>
      <c r="BG266" s="91" cm="1">
        <f t="array" aca="1" ref="BG266" ca="1">_FV(EE266,"Preço")</f>
        <v>2.5</v>
      </c>
      <c r="BH266" s="93" t="s">
        <v>263</v>
      </c>
      <c r="BI266" s="32" cm="1">
        <f t="array" aca="1" ref="BI266" ca="1">_FV(EE266,"Beta")</f>
        <v>1.3673999999999999</v>
      </c>
      <c r="BJ266" s="96" cm="1">
        <f t="array" aca="1" ref="BJ266" ca="1">_FV(EE266,"Variação (%)",TRUE)</f>
        <v>-3.8462000000000003E-2</v>
      </c>
      <c r="BK266" s="49"/>
      <c r="BL266" s="49"/>
      <c r="BN266" s="32"/>
      <c r="BO266" s="20" cm="1">
        <f t="array" aca="1" ref="BO266" ca="1">_FV(EE266,"Baixo")</f>
        <v>2.42</v>
      </c>
      <c r="BP266" s="20" cm="1">
        <f t="array" aca="1" ref="BP266" ca="1">_FV(EE266,"Alto")</f>
        <v>2.68</v>
      </c>
      <c r="BQ266" s="32"/>
      <c r="BR266" s="74">
        <f ca="1">SQRT(22.5*(BG266/VLOOKUP(BH266,Fundamentus!A:U,3,FALSE))*(BG266/VLOOKUP(BH266,Fundamentus!A:U,4,FALSE)))</f>
        <v>2.650087338895371</v>
      </c>
      <c r="BT266" s="73">
        <f t="shared" ca="1" si="296"/>
        <v>-3.8461538461538491E-2</v>
      </c>
      <c r="BU266" s="36">
        <f t="shared" si="297"/>
        <v>0.68944099378881984</v>
      </c>
      <c r="BV266" s="8"/>
      <c r="BW266" s="72">
        <f t="shared" si="298"/>
        <v>1.61</v>
      </c>
      <c r="BX266" s="72">
        <f t="shared" si="299"/>
        <v>3.7177586206896547</v>
      </c>
      <c r="BY266" s="72">
        <f t="shared" si="300"/>
        <v>7.56</v>
      </c>
      <c r="BZ266" s="17"/>
      <c r="CA266" s="17"/>
      <c r="CB266" s="43">
        <f t="shared" si="301"/>
        <v>2.3221140719870785</v>
      </c>
      <c r="CC266" s="18">
        <f t="shared" si="302"/>
        <v>2.5267478912838897</v>
      </c>
      <c r="CD266" s="43">
        <f t="shared" si="303"/>
        <v>2.7313817105807008</v>
      </c>
      <c r="CE266" s="98">
        <f t="shared" ca="1" si="304"/>
        <v>-0.13071100063422644</v>
      </c>
      <c r="CF266" s="17"/>
      <c r="CG266" s="20">
        <f t="shared" si="305"/>
        <v>-5.6633333333333322</v>
      </c>
      <c r="CH266" s="20">
        <f t="shared" si="306"/>
        <v>-2.026666666666666</v>
      </c>
      <c r="CI266" s="20">
        <f t="shared" si="307"/>
        <v>0.28666666666666707</v>
      </c>
      <c r="CJ266" s="49">
        <f t="shared" si="308"/>
        <v>3.9233333333333333</v>
      </c>
      <c r="CK266" s="20">
        <f t="shared" si="309"/>
        <v>6.2366666666666664</v>
      </c>
      <c r="CL266" s="20">
        <f t="shared" si="310"/>
        <v>9.8733333333333331</v>
      </c>
      <c r="CM266" s="20">
        <f t="shared" si="311"/>
        <v>12.186666666666667</v>
      </c>
      <c r="CN266" s="2" cm="1">
        <f t="array" aca="1" ref="CN266" ca="1">MAX(_xlfn._xlws.FILTER(CG266:CM266,CG266:CM266&lt;BG266))</f>
        <v>0.28666666666666707</v>
      </c>
      <c r="CO266" s="2" cm="1">
        <f t="array" aca="1" ref="CO266" ca="1">MIN(_xlfn._xlws.FILTER($CG266:$CM266,$CG266:$CM266&gt;BG266))</f>
        <v>3.9233333333333333</v>
      </c>
      <c r="CP266" s="19">
        <f t="shared" ca="1" si="312"/>
        <v>12.686046511627888</v>
      </c>
      <c r="CQ266" s="23">
        <f t="shared" ca="1" si="313"/>
        <v>-6.3430232558139439</v>
      </c>
      <c r="CR266" s="23">
        <f t="shared" ca="1" si="314"/>
        <v>-4.228682170542629</v>
      </c>
      <c r="CS266" s="23">
        <f t="shared" ca="1" si="315"/>
        <v>-2.5372093023255777</v>
      </c>
      <c r="CT266" s="23">
        <f t="shared" ca="1" si="316"/>
        <v>-1.4095607235142098</v>
      </c>
      <c r="CU266" s="23">
        <f t="shared" ca="1" si="329"/>
        <v>-0.74623803009575806</v>
      </c>
      <c r="CV266" s="23">
        <f t="shared" ca="1" si="330"/>
        <v>-0.38442565186751176</v>
      </c>
      <c r="CW266" s="23">
        <f t="shared" ca="1" si="331"/>
        <v>-0.19516994633273674</v>
      </c>
      <c r="CX266" s="24">
        <f t="shared" ca="1" si="332"/>
        <v>0.19516994633273674</v>
      </c>
      <c r="CY266" s="24">
        <f t="shared" ca="1" si="333"/>
        <v>0.38442565186751176</v>
      </c>
      <c r="CZ266" s="24">
        <f t="shared" ca="1" si="334"/>
        <v>0.74623803009575806</v>
      </c>
      <c r="DA266" s="24">
        <f t="shared" ca="1" si="317"/>
        <v>1.4095607235142098</v>
      </c>
      <c r="DB266" s="24">
        <f t="shared" ca="1" si="318"/>
        <v>2.5372093023255777</v>
      </c>
      <c r="DC266" s="24">
        <f t="shared" ca="1" si="319"/>
        <v>4.228682170542629</v>
      </c>
      <c r="DD266" s="24">
        <f t="shared" ca="1" si="320"/>
        <v>6.3430232558139439</v>
      </c>
      <c r="DF266" s="19" cm="1">
        <f t="array" aca="1" ref="DF266" ca="1">MAX(_xlfn._xlws.FILTER(CQ266:DD266,CQ266:DD266&lt;BJ266))</f>
        <v>-0.19516994633273674</v>
      </c>
      <c r="DG266" s="19" cm="1">
        <f t="array" aca="1" ref="DG266" ca="1">MIN(_xlfn._xlws.FILTER(CQ266:DD266,CQ266:DD266&gt;BJ266))</f>
        <v>0.19516994633273674</v>
      </c>
      <c r="DH266" s="2" cm="1">
        <f t="array" aca="1" ref="DH266" ca="1">_FV(EE266,"Fechamento anterior",TRUE)</f>
        <v>2.6</v>
      </c>
      <c r="DI266" s="36">
        <f t="shared" ca="1" si="321"/>
        <v>0.40146654445462859</v>
      </c>
      <c r="DJ266" s="18">
        <f t="shared" ca="1" si="294"/>
        <v>2.0925581395348845</v>
      </c>
      <c r="DK266" s="18">
        <f t="shared" ca="1" si="295"/>
        <v>3.1074418604651157</v>
      </c>
      <c r="DL266" s="9"/>
      <c r="DM266" s="9"/>
      <c r="DN266" s="9"/>
      <c r="DO266" s="9"/>
      <c r="DP266" s="79">
        <v>0.32692307692307715</v>
      </c>
      <c r="DQ266" s="79">
        <v>0.32692307692307715</v>
      </c>
      <c r="DR266" s="79">
        <v>0.32692307692307715</v>
      </c>
      <c r="DS266" s="79">
        <f t="shared" ca="1" si="322"/>
        <v>0.39033989266547348</v>
      </c>
      <c r="DT266" s="47"/>
      <c r="DU266" s="43">
        <f t="shared" si="323"/>
        <v>0.10231690964840555</v>
      </c>
      <c r="DV266" s="83">
        <f t="shared" ca="1" si="324"/>
        <v>1.7934999999999999</v>
      </c>
      <c r="DW266" s="83">
        <f t="shared" ca="1" si="325"/>
        <v>5.2136000000000005</v>
      </c>
      <c r="DX266" s="83">
        <f t="shared" ca="1" si="276"/>
        <v>-3.4201000000000006</v>
      </c>
      <c r="DY266" s="67"/>
      <c r="DZ266" s="67"/>
      <c r="EA266" s="85"/>
      <c r="EB266" s="44">
        <v>128300</v>
      </c>
      <c r="EC266" s="44" cm="1">
        <f t="array" aca="1" ref="EC266" ca="1">_FV(EE266,"Volume")</f>
        <v>556700</v>
      </c>
      <c r="EE266" s="2" t="e" vm="268">
        <v>#VALUE!</v>
      </c>
      <c r="EG266" s="10" cm="1">
        <f t="array" aca="1" ref="EG266" ca="1">_FV(EE266,"Ações em circulação",TRUE)</f>
        <v>31822290</v>
      </c>
      <c r="EH266" s="21">
        <f>VLOOKUP(BH266,Fundamentus!A:U,5,FALSE)</f>
        <v>7.88</v>
      </c>
      <c r="EI266" s="2">
        <f t="shared" ca="1" si="326"/>
        <v>10095904.187817259</v>
      </c>
      <c r="EJ266" s="20">
        <v>-19595665.425152287</v>
      </c>
      <c r="EK266" s="20">
        <f t="shared" ca="1" si="327"/>
        <v>-18841985.98572335</v>
      </c>
      <c r="EM266" s="40" t="str">
        <f>IF(VLOOKUP(BH266,Fundamentus!A:U,3,FALSE)&lt;15,"Bom",IF(VLOOKUP(BH266,Fundamentus!A:U,3,FALSE)&gt;15,"Ruim","n/a"))</f>
        <v>Bom</v>
      </c>
      <c r="EN266" s="36" t="str">
        <f>IF(VLOOKUP(BH266,Fundamentus!A:U,4,FALSE)&lt;1,"Baixo",IF(VLOOKUP(BH266,Fundamentus!A:U,4,FALSE)&lt;1.5,"Moderado",IF(VLOOKUP(BH266,Fundamentus!A:U,4,FALSE)&gt;1.5,"Alto","n/a")))</f>
        <v>Baixo</v>
      </c>
      <c r="EO266" s="20" t="str">
        <f>IF(VLOOKUP(BH266,Fundamentus!A:U,8,FALSE)&lt;0,"Risco elevado",IF(VLOOKUP(BH266,Fundamentus!A:U,8,FALSE)&lt;1,"Saudável",IF(VLOOKUP(BH266,Fundamentus!A:U,8,FALSE)&lt;3,"Estável",IF(VLOOKUP(BH266,Fundamentus!A:U,8,FALSE)&gt;3,"Alerta","n/a"))))</f>
        <v>Risco elevado</v>
      </c>
      <c r="EP266" s="36" t="str">
        <f t="shared" si="328"/>
        <v>Bom</v>
      </c>
      <c r="EQ266" s="20" t="str">
        <f>IF(VLOOKUP(BH266,Fundamentus!A:U,12,FALSE)&lt;2,"Subvalorizada",IF(VLOOKUP(BH266,Fundamentus!A:U,12,FALSE)&lt;6,"Muita barata",IF(VLOOKUP(BH266,Fundamentus!A:U,12,FALSE)&lt;6,"Barata",IF(VLOOKUP(BH266,Fundamentus!A:U,12,FALSE)&lt;8,"Atrativa",IF(VLOOKUP(BH266,Fundamentus!A:U,12,FALSE)&gt;8,"Supervalorizada","n/a")))))</f>
        <v>Subvalorizada</v>
      </c>
      <c r="ES266" s="20" t="str">
        <f>IF(VLOOKUP(BH266,Fundamentus!A:U,17,FALSE)&lt;0.1,"Fraco retorno",IF(VLOOKUP(BH266,Fundamentus!A:U,17,FALSE)&gt;0.1,"Bom retorno","n/a"))</f>
        <v>Bom retorno</v>
      </c>
      <c r="ET266" s="20" t="str">
        <f>IF(VLOOKUP(BH266,Fundamentus!A:U,16,FALSE)&lt;0.1,"Ineficiente",IF(VLOOKUP(BH266,Fundamentus!A:U,16,FALSE)&gt;0.1,"Eficiente","n/a"))</f>
        <v>Ineficiente</v>
      </c>
      <c r="EU266" s="41" t="str">
        <f>IF(VLOOKUP(BH266,Fundamentus!A:U,16,FALSE)&lt;0.1,"Oper. Ineficiente",IF(VLOOKUP(BH266,Fundamentus!A:U,16,FALSE)&gt;0.1,"Oper.Eficiente","n/a"))</f>
        <v>Oper. Ineficiente</v>
      </c>
      <c r="EV266" s="42">
        <f>VLOOKUP(BH266,Fundamentus!A:U,14,FALSE)</f>
        <v>-1.8663000000000001</v>
      </c>
      <c r="EW266" s="20" t="str">
        <f>IF(VLOOKUP(BH266,Fundamentus!A:U,21,FALSE)&lt;0,"Negativo",IF(VLOOKUP(BH266,Fundamentus!A:U,21,FALSE)&lt;0.05,"Fraco",IF(VLOOKUP(BH266,Fundamentus!A:U,21,FALSE)&lt;0.1,"Bom",IF(VLOOKUP(BH266,Fundamentus!A:U,21,FALSE)&gt;0.1,"Muito bom","n/a"))))</f>
        <v>Negativo</v>
      </c>
      <c r="EY266" s="37" t="str">
        <f>IF(VLOOKUP(BH266,Fundamentus!A:U,15,FALSE)&gt;1,"Bom",IF(VLOOKUP(BH266,Fundamentus!A:U,15,FALSE)&lt;1,"Ruim","n/a"))</f>
        <v>Ruim</v>
      </c>
      <c r="EZ266" s="20" t="str">
        <f>IF(VLOOKUP(BH266,Fundamentus!A:U,20,FALSE)&lt;0.5,"Baixa",IF(VLOOKUP(BH266,Fundamentus!A:U,20,FALSE)&lt;1,"Moderada",IF(VLOOKUP(BH266,Fundamentus!A:U,20,FALSE)&lt;2,"Alerta",IF(VLOOKUP(BH266,Fundamentus!A:U,20,FALSE)&gt;2,"Alta","n/a"))))</f>
        <v>Baixa</v>
      </c>
    </row>
    <row r="267" spans="1:156" s="2" customFormat="1" ht="11.25" hidden="1" x14ac:dyDescent="0.2">
      <c r="A267" s="4">
        <v>10.65</v>
      </c>
      <c r="B267" s="4">
        <v>9.7899999999999991</v>
      </c>
      <c r="C267" s="4">
        <v>11.07</v>
      </c>
      <c r="D267" s="4">
        <v>10.49</v>
      </c>
      <c r="E267" s="4">
        <v>10.47</v>
      </c>
      <c r="F267" s="4">
        <v>10.41</v>
      </c>
      <c r="G267" s="4">
        <v>9.74</v>
      </c>
      <c r="H267" s="4">
        <v>9.8800000000000008</v>
      </c>
      <c r="I267" s="4">
        <v>9.86</v>
      </c>
      <c r="J267" s="4">
        <v>10.49</v>
      </c>
      <c r="K267" s="4">
        <v>10.46</v>
      </c>
      <c r="L267" s="4">
        <v>9.75</v>
      </c>
      <c r="M267" s="4">
        <v>9.6300000000000008</v>
      </c>
      <c r="N267" s="4">
        <v>8.74</v>
      </c>
      <c r="O267" s="4">
        <v>8.84</v>
      </c>
      <c r="P267" s="4">
        <v>8.7100000000000009</v>
      </c>
      <c r="Q267" s="4">
        <v>9.6</v>
      </c>
      <c r="R267" s="4">
        <v>8.65</v>
      </c>
      <c r="S267" s="4">
        <v>8.3800000000000008</v>
      </c>
      <c r="T267" s="4">
        <v>9.1999999999999993</v>
      </c>
      <c r="U267" s="4">
        <v>8.84</v>
      </c>
      <c r="V267" s="4">
        <v>8.0399999999999991</v>
      </c>
      <c r="W267" s="4">
        <v>8.2100000000000009</v>
      </c>
      <c r="X267" s="4">
        <v>8.01</v>
      </c>
      <c r="Y267" s="4">
        <v>7.76</v>
      </c>
      <c r="Z267" s="4">
        <v>7.14</v>
      </c>
      <c r="AA267" s="4">
        <v>7.27</v>
      </c>
      <c r="AB267" s="4">
        <v>7.32</v>
      </c>
      <c r="AC267" s="4">
        <v>7.95</v>
      </c>
      <c r="AD267" s="4">
        <v>8.15</v>
      </c>
      <c r="AE267" s="4">
        <v>6.7</v>
      </c>
      <c r="AF267" s="4">
        <v>6.36</v>
      </c>
      <c r="AG267" s="4">
        <v>5.85</v>
      </c>
      <c r="AH267" s="4">
        <v>5.94</v>
      </c>
      <c r="AI267" s="4">
        <v>5.35</v>
      </c>
      <c r="AJ267" s="4">
        <v>5.24</v>
      </c>
      <c r="AK267" s="4">
        <v>4.99</v>
      </c>
      <c r="AL267" s="4">
        <v>4.7699999999999996</v>
      </c>
      <c r="AM267" s="4">
        <v>4.88</v>
      </c>
      <c r="AN267" s="4">
        <v>4.92</v>
      </c>
      <c r="AO267" s="4">
        <v>4.1500000000000004</v>
      </c>
      <c r="AP267" s="4">
        <v>4.6399999999999997</v>
      </c>
      <c r="AQ267" s="4">
        <v>4.3899999999999997</v>
      </c>
      <c r="AR267" s="4">
        <v>4.41</v>
      </c>
      <c r="AS267" s="4">
        <v>4.3899999999999997</v>
      </c>
      <c r="AT267" s="4">
        <v>4.62</v>
      </c>
      <c r="AU267" s="4">
        <v>4.9400000000000004</v>
      </c>
      <c r="AV267" s="4">
        <v>4.05</v>
      </c>
      <c r="AW267" s="4">
        <v>3.99</v>
      </c>
      <c r="AX267" s="4">
        <v>4.3</v>
      </c>
      <c r="AY267" s="12">
        <v>4.4000000000000004</v>
      </c>
      <c r="AZ267" s="12">
        <v>4.66</v>
      </c>
      <c r="BA267" s="12">
        <v>4.38</v>
      </c>
      <c r="BB267" s="18">
        <v>4.53</v>
      </c>
      <c r="BC267" s="63">
        <v>4.59</v>
      </c>
      <c r="BD267" s="63">
        <v>4.33</v>
      </c>
      <c r="BE267" s="63">
        <v>4.9000000000000004</v>
      </c>
      <c r="BF267" s="63">
        <v>5.04</v>
      </c>
      <c r="BG267" s="91" cm="1">
        <f t="array" aca="1" ref="BG267" ca="1">_FV(EE267,"Preço")</f>
        <v>5</v>
      </c>
      <c r="BH267" s="93" t="s">
        <v>264</v>
      </c>
      <c r="BI267" s="32" cm="1">
        <f t="array" aca="1" ref="BI267" ca="1">_FV(EE267,"Beta")</f>
        <v>1.4288000000000001</v>
      </c>
      <c r="BJ267" s="96" cm="1">
        <f t="array" aca="1" ref="BJ267" ca="1">_FV(EE267,"Variação (%)",TRUE)</f>
        <v>-1.7682E-2</v>
      </c>
      <c r="BK267" s="49"/>
      <c r="BL267" s="49"/>
      <c r="BN267" s="32"/>
      <c r="BO267" s="20" cm="1">
        <f t="array" aca="1" ref="BO267" ca="1">_FV(EE267,"Baixo")</f>
        <v>4.93</v>
      </c>
      <c r="BP267" s="20" cm="1">
        <f t="array" aca="1" ref="BP267" ca="1">_FV(EE267,"Alto")</f>
        <v>5.05</v>
      </c>
      <c r="BQ267" s="32"/>
      <c r="BR267" s="74">
        <f ca="1">SQRT(22.5*(BG267/VLOOKUP(BH267,Fundamentus!A:U,3,FALSE))*(BG267/VLOOKUP(BH267,Fundamentus!A:U,4,FALSE)))</f>
        <v>5.4473830279053761</v>
      </c>
      <c r="BT267" s="73">
        <f t="shared" ca="1" si="296"/>
        <v>-7.936507936507943E-3</v>
      </c>
      <c r="BU267" s="36">
        <f t="shared" si="297"/>
        <v>-0.539906103286385</v>
      </c>
      <c r="BV267" s="8"/>
      <c r="BW267" s="72">
        <f t="shared" si="298"/>
        <v>3.99</v>
      </c>
      <c r="BX267" s="72">
        <f t="shared" si="299"/>
        <v>7.0553448275862056</v>
      </c>
      <c r="BY267" s="72">
        <f t="shared" si="300"/>
        <v>11.07</v>
      </c>
      <c r="BZ267" s="17"/>
      <c r="CA267" s="17"/>
      <c r="CB267" s="43">
        <f t="shared" si="301"/>
        <v>4.6193881462943995</v>
      </c>
      <c r="CC267" s="18">
        <f t="shared" si="302"/>
        <v>5.1704779756325934</v>
      </c>
      <c r="CD267" s="43">
        <f t="shared" si="303"/>
        <v>5.7215678049707872</v>
      </c>
      <c r="CE267" s="98">
        <f t="shared" ca="1" si="304"/>
        <v>-0.30934698221036144</v>
      </c>
      <c r="CF267" s="17"/>
      <c r="CG267" s="20">
        <f t="shared" si="305"/>
        <v>-4.75</v>
      </c>
      <c r="CH267" s="20">
        <f t="shared" si="306"/>
        <v>-0.37999999999999989</v>
      </c>
      <c r="CI267" s="20">
        <f t="shared" si="307"/>
        <v>2.33</v>
      </c>
      <c r="CJ267" s="49">
        <f t="shared" si="308"/>
        <v>6.7</v>
      </c>
      <c r="CK267" s="20">
        <f t="shared" si="309"/>
        <v>9.41</v>
      </c>
      <c r="CL267" s="20">
        <f t="shared" si="310"/>
        <v>13.780000000000001</v>
      </c>
      <c r="CM267" s="20">
        <f t="shared" si="311"/>
        <v>16.490000000000002</v>
      </c>
      <c r="CN267" s="2" cm="1">
        <f t="array" aca="1" ref="CN267" ca="1">MAX(_xlfn._xlws.FILTER(CG267:CM267,CG267:CM267&lt;BG267))</f>
        <v>2.33</v>
      </c>
      <c r="CO267" s="2" cm="1">
        <f t="array" aca="1" ref="CO267" ca="1">MIN(_xlfn._xlws.FILTER($CG267:$CM267,$CG267:$CM267&gt;BG267))</f>
        <v>6.7</v>
      </c>
      <c r="CP267" s="19">
        <f t="shared" ca="1" si="312"/>
        <v>1.8755364806866952</v>
      </c>
      <c r="CQ267" s="23">
        <f t="shared" ca="1" si="313"/>
        <v>-0.9377682403433476</v>
      </c>
      <c r="CR267" s="23">
        <f t="shared" ca="1" si="314"/>
        <v>-0.62517882689556503</v>
      </c>
      <c r="CS267" s="23">
        <f t="shared" ca="1" si="315"/>
        <v>-0.37510729613733906</v>
      </c>
      <c r="CT267" s="23">
        <f t="shared" ca="1" si="316"/>
        <v>-0.20839294229852168</v>
      </c>
      <c r="CU267" s="23">
        <f t="shared" ca="1" si="329"/>
        <v>-0.11032567533451149</v>
      </c>
      <c r="CV267" s="23">
        <f t="shared" ca="1" si="330"/>
        <v>-5.6834438808687736E-2</v>
      </c>
      <c r="CW267" s="23">
        <f t="shared" ca="1" si="331"/>
        <v>-2.8854407395179926E-2</v>
      </c>
      <c r="CX267" s="24">
        <f t="shared" ca="1" si="332"/>
        <v>2.8854407395179926E-2</v>
      </c>
      <c r="CY267" s="24">
        <f t="shared" ca="1" si="333"/>
        <v>5.6834438808687736E-2</v>
      </c>
      <c r="CZ267" s="24">
        <f t="shared" ca="1" si="334"/>
        <v>0.11032567533451149</v>
      </c>
      <c r="DA267" s="24">
        <f t="shared" ca="1" si="317"/>
        <v>0.20839294229852168</v>
      </c>
      <c r="DB267" s="24">
        <f t="shared" ca="1" si="318"/>
        <v>0.37510729613733906</v>
      </c>
      <c r="DC267" s="24">
        <f t="shared" ca="1" si="319"/>
        <v>0.62517882689556503</v>
      </c>
      <c r="DD267" s="24">
        <f t="shared" ca="1" si="320"/>
        <v>0.9377682403433476</v>
      </c>
      <c r="DF267" s="19" cm="1">
        <f t="array" aca="1" ref="DF267" ca="1">MAX(_xlfn._xlws.FILTER(CQ267:DD267,CQ267:DD267&lt;BJ267))</f>
        <v>-2.8854407395179926E-2</v>
      </c>
      <c r="DG267" s="19" cm="1">
        <f t="array" aca="1" ref="DG267" ca="1">MIN(_xlfn._xlws.FILTER(CQ267:DD267,CQ267:DD267&gt;BJ267))</f>
        <v>2.8854407395179926E-2</v>
      </c>
      <c r="DH267" s="2" cm="1">
        <f t="array" aca="1" ref="DH267" ca="1">_FV(EE267,"Fechamento anterior",TRUE)</f>
        <v>5.09</v>
      </c>
      <c r="DI267" s="36">
        <f t="shared" ca="1" si="321"/>
        <v>0.19360436625860439</v>
      </c>
      <c r="DJ267" s="18">
        <f t="shared" ca="1" si="294"/>
        <v>4.9431310663585339</v>
      </c>
      <c r="DK267" s="18">
        <f t="shared" ca="1" si="295"/>
        <v>5.2368689336414658</v>
      </c>
      <c r="DL267" s="9"/>
      <c r="DM267" s="9"/>
      <c r="DN267" s="9"/>
      <c r="DO267" s="9"/>
      <c r="DP267" s="79">
        <v>4.5856604245865983E-2</v>
      </c>
      <c r="DQ267" s="79">
        <v>9.4579246257098584E-2</v>
      </c>
      <c r="DR267" s="79">
        <v>9.4579246257098584E-2</v>
      </c>
      <c r="DS267" s="79">
        <f t="shared" ca="1" si="322"/>
        <v>5.7708814790359851E-2</v>
      </c>
      <c r="DT267" s="47"/>
      <c r="DU267" s="43">
        <f t="shared" si="323"/>
        <v>0.27554491466909714</v>
      </c>
      <c r="DV267" s="83">
        <f t="shared" ca="1" si="324"/>
        <v>1.8549</v>
      </c>
      <c r="DW267" s="83">
        <f t="shared" ca="1" si="325"/>
        <v>3.1970000000000001</v>
      </c>
      <c r="DX267" s="83">
        <f t="shared" ca="1" si="276"/>
        <v>-1.3421000000000001</v>
      </c>
      <c r="DY267" s="67"/>
      <c r="DZ267" s="67"/>
      <c r="EA267" s="85"/>
      <c r="EB267" s="44">
        <v>484500</v>
      </c>
      <c r="EC267" s="44" cm="1">
        <f t="array" aca="1" ref="EC267" ca="1">_FV(EE267,"Volume")</f>
        <v>225100</v>
      </c>
      <c r="EE267" s="2" t="e" vm="269">
        <v>#VALUE!</v>
      </c>
      <c r="EG267" s="10" cm="1">
        <f t="array" aca="1" ref="EG267" ca="1">_FV(EE267,"Ações em circulação",TRUE)</f>
        <v>346494100</v>
      </c>
      <c r="EH267" s="21">
        <f>VLOOKUP(BH267,Fundamentus!A:U,5,FALSE)</f>
        <v>0.97</v>
      </c>
      <c r="EI267" s="2">
        <f t="shared" ca="1" si="326"/>
        <v>1786052061.8556702</v>
      </c>
      <c r="EJ267" s="20">
        <v>128904378.24989691</v>
      </c>
      <c r="EK267" s="20">
        <f t="shared" ca="1" si="327"/>
        <v>127881327.62886599</v>
      </c>
      <c r="EM267" s="40" t="str">
        <f>IF(VLOOKUP(BH267,Fundamentus!A:U,3,FALSE)&lt;15,"Bom",IF(VLOOKUP(BH267,Fundamentus!A:U,3,FALSE)&gt;15,"Ruim","n/a"))</f>
        <v>Bom</v>
      </c>
      <c r="EN267" s="36" t="str">
        <f>IF(VLOOKUP(BH267,Fundamentus!A:U,4,FALSE)&lt;1,"Baixo",IF(VLOOKUP(BH267,Fundamentus!A:U,4,FALSE)&lt;1.5,"Moderado",IF(VLOOKUP(BH267,Fundamentus!A:U,4,FALSE)&gt;1.5,"Alto","n/a")))</f>
        <v>Moderado</v>
      </c>
      <c r="EO267" s="20" t="str">
        <f>IF(VLOOKUP(BH267,Fundamentus!A:U,8,FALSE)&lt;0,"Risco elevado",IF(VLOOKUP(BH267,Fundamentus!A:U,8,FALSE)&lt;1,"Saudável",IF(VLOOKUP(BH267,Fundamentus!A:U,8,FALSE)&lt;3,"Estável",IF(VLOOKUP(BH267,Fundamentus!A:U,8,FALSE)&gt;3,"Alerta","n/a"))))</f>
        <v>Estável</v>
      </c>
      <c r="EP267" s="36" t="str">
        <f t="shared" si="328"/>
        <v>Ruim</v>
      </c>
      <c r="EQ267" s="20" t="str">
        <f>IF(VLOOKUP(BH267,Fundamentus!A:U,12,FALSE)&lt;2,"Subvalorizada",IF(VLOOKUP(BH267,Fundamentus!A:U,12,FALSE)&lt;6,"Muita barata",IF(VLOOKUP(BH267,Fundamentus!A:U,12,FALSE)&lt;6,"Barata",IF(VLOOKUP(BH267,Fundamentus!A:U,12,FALSE)&lt;8,"Atrativa",IF(VLOOKUP(BH267,Fundamentus!A:U,12,FALSE)&gt;8,"Supervalorizada","n/a")))))</f>
        <v>Muita barata</v>
      </c>
      <c r="ES267" s="20" t="str">
        <f>IF(VLOOKUP(BH267,Fundamentus!A:U,17,FALSE)&lt;0.1,"Fraco retorno",IF(VLOOKUP(BH267,Fundamentus!A:U,17,FALSE)&gt;0.1,"Bom retorno","n/a"))</f>
        <v>Bom retorno</v>
      </c>
      <c r="ET267" s="20" t="str">
        <f>IF(VLOOKUP(BH267,Fundamentus!A:U,16,FALSE)&lt;0.1,"Ineficiente",IF(VLOOKUP(BH267,Fundamentus!A:U,16,FALSE)&gt;0.1,"Eficiente","n/a"))</f>
        <v>Eficiente</v>
      </c>
      <c r="EU267" s="41" t="str">
        <f>IF(VLOOKUP(BH267,Fundamentus!A:U,16,FALSE)&lt;0.1,"Oper. Ineficiente",IF(VLOOKUP(BH267,Fundamentus!A:U,16,FALSE)&gt;0.1,"Oper.Eficiente","n/a"))</f>
        <v>Oper.Eficiente</v>
      </c>
      <c r="EV267" s="42">
        <f>VLOOKUP(BH267,Fundamentus!A:U,14,FALSE)</f>
        <v>7.1599999999999997E-2</v>
      </c>
      <c r="EW267" s="20" t="str">
        <f>IF(VLOOKUP(BH267,Fundamentus!A:U,21,FALSE)&lt;0,"Negativo",IF(VLOOKUP(BH267,Fundamentus!A:U,21,FALSE)&lt;0.05,"Fraco",IF(VLOOKUP(BH267,Fundamentus!A:U,21,FALSE)&lt;0.1,"Bom",IF(VLOOKUP(BH267,Fundamentus!A:U,21,FALSE)&gt;0.1,"Muito bom","n/a"))))</f>
        <v>Muito bom</v>
      </c>
      <c r="EY267" s="37" t="str">
        <f>IF(VLOOKUP(BH267,Fundamentus!A:U,15,FALSE)&gt;1,"Bom",IF(VLOOKUP(BH267,Fundamentus!A:U,15,FALSE)&lt;1,"Ruim","n/a"))</f>
        <v>Bom</v>
      </c>
      <c r="EZ267" s="20" t="str">
        <f>IF(VLOOKUP(BH267,Fundamentus!A:U,20,FALSE)&lt;0.5,"Baixa",IF(VLOOKUP(BH267,Fundamentus!A:U,20,FALSE)&lt;1,"Moderada",IF(VLOOKUP(BH267,Fundamentus!A:U,20,FALSE)&lt;2,"Alerta",IF(VLOOKUP(BH267,Fundamentus!A:U,20,FALSE)&gt;2,"Alta","n/a"))))</f>
        <v>Alerta</v>
      </c>
    </row>
    <row r="268" spans="1:156" s="5" customFormat="1" ht="11.25" hidden="1" x14ac:dyDescent="0.2">
      <c r="A268" s="4">
        <v>2.13</v>
      </c>
      <c r="B268" s="4">
        <v>2.12</v>
      </c>
      <c r="C268" s="4">
        <v>2.04</v>
      </c>
      <c r="D268" s="4">
        <v>2.2000000000000002</v>
      </c>
      <c r="E268" s="4">
        <v>2.38</v>
      </c>
      <c r="F268" s="4">
        <v>2.25</v>
      </c>
      <c r="G268" s="4">
        <v>2.2999999999999998</v>
      </c>
      <c r="H268" s="4">
        <v>2.2599999999999998</v>
      </c>
      <c r="I268" s="4">
        <v>1.91</v>
      </c>
      <c r="J268" s="4">
        <v>1.94</v>
      </c>
      <c r="K268" s="4">
        <v>2</v>
      </c>
      <c r="L268" s="4">
        <v>1.99</v>
      </c>
      <c r="M268" s="4">
        <v>1.96</v>
      </c>
      <c r="N268" s="4">
        <v>1.72</v>
      </c>
      <c r="O268" s="4">
        <v>1.65</v>
      </c>
      <c r="P268" s="4">
        <v>1.5</v>
      </c>
      <c r="Q268" s="4">
        <v>1.38</v>
      </c>
      <c r="R268" s="4">
        <v>1.38</v>
      </c>
      <c r="S268" s="4">
        <v>1.34</v>
      </c>
      <c r="T268" s="4">
        <v>1.39</v>
      </c>
      <c r="U268" s="4">
        <v>1.47</v>
      </c>
      <c r="V268" s="4">
        <v>1.65</v>
      </c>
      <c r="W268" s="4">
        <v>1.5</v>
      </c>
      <c r="X268" s="4">
        <v>1.51</v>
      </c>
      <c r="Y268" s="4">
        <v>1.39</v>
      </c>
      <c r="Z268" s="4">
        <v>1.35</v>
      </c>
      <c r="AA268" s="4">
        <v>1.38</v>
      </c>
      <c r="AB268" s="4">
        <v>1.33</v>
      </c>
      <c r="AC268" s="4">
        <v>1.33</v>
      </c>
      <c r="AD268" s="4">
        <v>1.3</v>
      </c>
      <c r="AE268" s="4">
        <v>1.29</v>
      </c>
      <c r="AF268" s="4">
        <v>1.19</v>
      </c>
      <c r="AG268" s="4">
        <v>1.19</v>
      </c>
      <c r="AH268" s="4">
        <v>1.1000000000000001</v>
      </c>
      <c r="AI268" s="4">
        <v>1.1100000000000001</v>
      </c>
      <c r="AJ268" s="4">
        <v>1.18</v>
      </c>
      <c r="AK268" s="4">
        <v>1.3</v>
      </c>
      <c r="AL268" s="4">
        <v>1.1399999999999999</v>
      </c>
      <c r="AM268" s="4">
        <v>1.1100000000000001</v>
      </c>
      <c r="AN268" s="4">
        <v>1.1299999999999999</v>
      </c>
      <c r="AO268" s="4">
        <v>1.1299999999999999</v>
      </c>
      <c r="AP268" s="4">
        <v>1.1399999999999999</v>
      </c>
      <c r="AQ268" s="4">
        <v>1.1200000000000001</v>
      </c>
      <c r="AR268" s="4">
        <v>1.1499999999999999</v>
      </c>
      <c r="AS268" s="4">
        <v>1.1100000000000001</v>
      </c>
      <c r="AT268" s="4">
        <v>1.1399999999999999</v>
      </c>
      <c r="AU268" s="4">
        <v>1.125</v>
      </c>
      <c r="AV268" s="4">
        <v>1.2</v>
      </c>
      <c r="AW268" s="4">
        <v>1.24</v>
      </c>
      <c r="AX268" s="4">
        <v>1.18</v>
      </c>
      <c r="AY268" s="12">
        <v>1.22</v>
      </c>
      <c r="AZ268" s="12">
        <v>1.25</v>
      </c>
      <c r="BA268" s="12">
        <v>1.26</v>
      </c>
      <c r="BB268" s="18">
        <v>1.18</v>
      </c>
      <c r="BC268" s="63">
        <v>1.2</v>
      </c>
      <c r="BD268" s="63">
        <v>1.27</v>
      </c>
      <c r="BE268" s="63">
        <v>1.26</v>
      </c>
      <c r="BF268" s="63">
        <v>1.25</v>
      </c>
      <c r="BG268" s="91" cm="1">
        <f t="array" aca="1" ref="BG268" ca="1">_FV(EE268,"Preço")</f>
        <v>1.19</v>
      </c>
      <c r="BH268" s="93" t="s">
        <v>265</v>
      </c>
      <c r="BI268" s="32" cm="1">
        <f t="array" aca="1" ref="BI268" ca="1">_FV(EE268,"Beta")</f>
        <v>1.5944</v>
      </c>
      <c r="BJ268" s="96" cm="1">
        <f t="array" aca="1" ref="BJ268" ca="1">_FV(EE268,"Variação (%)",TRUE)</f>
        <v>-8.3330000000000001E-3</v>
      </c>
      <c r="BK268" s="49"/>
      <c r="BL268" s="49"/>
      <c r="BN268" s="32"/>
      <c r="BO268" s="20" cm="1">
        <f t="array" aca="1" ref="BO268" ca="1">_FV(EE268,"Baixo")</f>
        <v>1.19</v>
      </c>
      <c r="BP268" s="20" cm="1">
        <f t="array" aca="1" ref="BP268" ca="1">_FV(EE268,"Alto")</f>
        <v>1.19</v>
      </c>
      <c r="BQ268" s="32"/>
      <c r="BR268" s="74" t="e">
        <f ca="1">SQRT(22.5*(BG268/VLOOKUP(BH268,Fundamentus!A:U,3,FALSE))*(BG268/VLOOKUP(BH268,Fundamentus!A:U,4,FALSE)))</f>
        <v>#NUM!</v>
      </c>
      <c r="BT268" s="73">
        <f t="shared" ca="1" si="296"/>
        <v>-4.8000000000000043E-2</v>
      </c>
      <c r="BU268" s="36">
        <f t="shared" si="297"/>
        <v>-0.40845070422535207</v>
      </c>
      <c r="BV268" s="8"/>
      <c r="BW268" s="72">
        <f t="shared" si="298"/>
        <v>1.1000000000000001</v>
      </c>
      <c r="BX268" s="72">
        <f t="shared" si="299"/>
        <v>1.4692241379310347</v>
      </c>
      <c r="BY268" s="72">
        <f t="shared" si="300"/>
        <v>2.38</v>
      </c>
      <c r="BZ268" s="17"/>
      <c r="CA268" s="17"/>
      <c r="CB268" s="43">
        <f t="shared" si="301"/>
        <v>1.2267481644872322</v>
      </c>
      <c r="CC268" s="18">
        <f t="shared" si="302"/>
        <v>1.2805998125585774</v>
      </c>
      <c r="CD268" s="43">
        <f t="shared" si="303"/>
        <v>1.3344514606299225</v>
      </c>
      <c r="CE268" s="98">
        <f t="shared" ca="1" si="304"/>
        <v>-1.6823962831842516</v>
      </c>
      <c r="CF268" s="17"/>
      <c r="CG268" s="20">
        <f t="shared" si="305"/>
        <v>-0.50666666666666593</v>
      </c>
      <c r="CH268" s="20">
        <f t="shared" si="306"/>
        <v>0.29666666666666708</v>
      </c>
      <c r="CI268" s="20">
        <f t="shared" si="307"/>
        <v>0.77333333333333387</v>
      </c>
      <c r="CJ268" s="49">
        <f t="shared" si="308"/>
        <v>1.5766666666666669</v>
      </c>
      <c r="CK268" s="20">
        <f t="shared" si="309"/>
        <v>2.0533333333333337</v>
      </c>
      <c r="CL268" s="20">
        <f t="shared" si="310"/>
        <v>2.8566666666666665</v>
      </c>
      <c r="CM268" s="20">
        <f t="shared" si="311"/>
        <v>3.3333333333333335</v>
      </c>
      <c r="CN268" s="2" cm="1">
        <f t="array" aca="1" ref="CN268" ca="1">MAX(_xlfn._xlws.FILTER(CG268:CM268,CG268:CM268&lt;BG268))</f>
        <v>0.77333333333333387</v>
      </c>
      <c r="CO268" s="2" cm="1">
        <f t="array" aca="1" ref="CO268" ca="1">MIN(_xlfn._xlws.FILTER($CG268:$CM268,$CG268:$CM268&gt;BG268))</f>
        <v>1.5766666666666669</v>
      </c>
      <c r="CP268" s="19">
        <f t="shared" ca="1" si="312"/>
        <v>1.0387931034482749</v>
      </c>
      <c r="CQ268" s="23">
        <f t="shared" ca="1" si="313"/>
        <v>-0.51939655172413746</v>
      </c>
      <c r="CR268" s="23">
        <f t="shared" ca="1" si="314"/>
        <v>-0.34626436781609166</v>
      </c>
      <c r="CS268" s="23">
        <f t="shared" ca="1" si="315"/>
        <v>-0.20775862068965498</v>
      </c>
      <c r="CT268" s="23">
        <f t="shared" ca="1" si="316"/>
        <v>-0.11542145593869721</v>
      </c>
      <c r="CU268" s="23">
        <f t="shared" ca="1" si="329"/>
        <v>-6.1105476673427937E-2</v>
      </c>
      <c r="CV268" s="23">
        <f t="shared" ca="1" si="330"/>
        <v>-3.1478578892371968E-2</v>
      </c>
      <c r="CW268" s="23">
        <f t="shared" ca="1" si="331"/>
        <v>-1.5981432360742689E-2</v>
      </c>
      <c r="CX268" s="24">
        <f t="shared" ca="1" si="332"/>
        <v>1.5981432360742689E-2</v>
      </c>
      <c r="CY268" s="24">
        <f t="shared" ca="1" si="333"/>
        <v>3.1478578892371968E-2</v>
      </c>
      <c r="CZ268" s="24">
        <f t="shared" ca="1" si="334"/>
        <v>6.1105476673427937E-2</v>
      </c>
      <c r="DA268" s="24">
        <f t="shared" ca="1" si="317"/>
        <v>0.11542145593869721</v>
      </c>
      <c r="DB268" s="24">
        <f t="shared" ca="1" si="318"/>
        <v>0.20775862068965498</v>
      </c>
      <c r="DC268" s="24">
        <f t="shared" ca="1" si="319"/>
        <v>0.34626436781609166</v>
      </c>
      <c r="DD268" s="24">
        <f t="shared" ca="1" si="320"/>
        <v>0.51939655172413746</v>
      </c>
      <c r="DF268" s="19" cm="1">
        <f t="array" aca="1" ref="DF268" ca="1">MAX(_xlfn._xlws.FILTER(CQ268:DD268,CQ268:DD268&lt;BJ268))</f>
        <v>-1.5981432360742689E-2</v>
      </c>
      <c r="DG268" s="19" cm="1">
        <f t="array" aca="1" ref="DG268" ca="1">MIN(_xlfn._xlws.FILTER(CQ268:DD268,CQ268:DD268&gt;BJ268))</f>
        <v>1.5981432360742689E-2</v>
      </c>
      <c r="DH268" s="2" cm="1">
        <f t="array" aca="1" ref="DH268" ca="1">_FV(EE268,"Fechamento anterior",TRUE)</f>
        <v>1.2</v>
      </c>
      <c r="DI268" s="36">
        <f t="shared" ca="1" si="321"/>
        <v>0.23928077455048338</v>
      </c>
      <c r="DJ268" s="18">
        <f t="shared" ca="1" si="294"/>
        <v>1.1808222811671087</v>
      </c>
      <c r="DK268" s="18">
        <f t="shared" ca="1" si="295"/>
        <v>1.2191777188328912</v>
      </c>
      <c r="DL268" s="9"/>
      <c r="DM268" s="9"/>
      <c r="DN268" s="9"/>
      <c r="DO268" s="9"/>
      <c r="DP268" s="79">
        <v>1.9469795740982176E-2</v>
      </c>
      <c r="DQ268" s="79">
        <v>4.0156453715775739E-2</v>
      </c>
      <c r="DR268" s="79">
        <v>1.9469795740982176E-2</v>
      </c>
      <c r="DS268" s="79">
        <f t="shared" ca="1" si="322"/>
        <v>3.1962864721485379E-2</v>
      </c>
      <c r="DT268" s="47"/>
      <c r="DU268" s="43">
        <f t="shared" si="323"/>
        <v>2.6925824035672546E-2</v>
      </c>
      <c r="DV268" s="83">
        <f t="shared" ca="1" si="324"/>
        <v>2.0205000000000002</v>
      </c>
      <c r="DW268" s="83">
        <f t="shared" ca="1" si="325"/>
        <v>2.4277000000000002</v>
      </c>
      <c r="DX268" s="83">
        <f t="shared" ca="1" si="276"/>
        <v>-0.40720000000000001</v>
      </c>
      <c r="DY268" s="67"/>
      <c r="DZ268" s="67"/>
      <c r="EA268" s="85"/>
      <c r="EB268" s="44">
        <v>100</v>
      </c>
      <c r="EC268" s="44" cm="1">
        <f t="array" aca="1" ref="EC268" ca="1">_FV(EE268,"Volume")</f>
        <v>100</v>
      </c>
      <c r="EE268" s="5" t="e" vm="270">
        <v>#VALUE!</v>
      </c>
      <c r="EG268" s="10" cm="1">
        <f t="array" aca="1" ref="EG268" ca="1">_FV(EE268,"Ações em circulação",TRUE)</f>
        <v>26710360</v>
      </c>
      <c r="EH268" s="21">
        <f>VLOOKUP(BH268,Fundamentus!A:U,5,FALSE)</f>
        <v>8.5000000000000006E-2</v>
      </c>
      <c r="EI268" s="2">
        <f t="shared" ca="1" si="326"/>
        <v>373945039.99999994</v>
      </c>
      <c r="EJ268" s="20">
        <v>-161597677.99999997</v>
      </c>
      <c r="EK268" s="20">
        <f t="shared" ca="1" si="327"/>
        <v>-153840989.45599997</v>
      </c>
      <c r="EL268" s="2"/>
      <c r="EM268" s="40" t="str">
        <f>IF(VLOOKUP(BH268,Fundamentus!A:U,3,FALSE)&lt;15,"Bom",IF(VLOOKUP(BH268,Fundamentus!A:U,3,FALSE)&gt;15,"Ruim","n/a"))</f>
        <v>Bom</v>
      </c>
      <c r="EN268" s="36" t="str">
        <f>IF(VLOOKUP(BH268,Fundamentus!A:U,4,FALSE)&lt;1,"Baixo",IF(VLOOKUP(BH268,Fundamentus!A:U,4,FALSE)&lt;1.5,"Moderado",IF(VLOOKUP(BH268,Fundamentus!A:U,4,FALSE)&gt;1.5,"Alto","n/a")))</f>
        <v>Baixo</v>
      </c>
      <c r="EO268" s="20" t="str">
        <f>IF(VLOOKUP(BH268,Fundamentus!A:U,8,FALSE)&lt;0,"Risco elevado",IF(VLOOKUP(BH268,Fundamentus!A:U,8,FALSE)&lt;1,"Saudável",IF(VLOOKUP(BH268,Fundamentus!A:U,8,FALSE)&lt;3,"Estável",IF(VLOOKUP(BH268,Fundamentus!A:U,8,FALSE)&gt;3,"Alerta","n/a"))))</f>
        <v>Risco elevado</v>
      </c>
      <c r="EP268" s="36" t="str">
        <f t="shared" si="328"/>
        <v>Ruim</v>
      </c>
      <c r="EQ268" s="20" t="str">
        <f>IF(VLOOKUP(BH268,Fundamentus!A:U,12,FALSE)&lt;2,"Subvalorizada",IF(VLOOKUP(BH268,Fundamentus!A:U,12,FALSE)&lt;6,"Muita barata",IF(VLOOKUP(BH268,Fundamentus!A:U,12,FALSE)&lt;6,"Barata",IF(VLOOKUP(BH268,Fundamentus!A:U,12,FALSE)&lt;8,"Atrativa",IF(VLOOKUP(BH268,Fundamentus!A:U,12,FALSE)&gt;8,"Supervalorizada","n/a")))))</f>
        <v>Subvalorizada</v>
      </c>
      <c r="ER268" s="2"/>
      <c r="ES268" s="20" t="str">
        <f>IF(VLOOKUP(BH268,Fundamentus!A:U,17,FALSE)&lt;0.1,"Fraco retorno",IF(VLOOKUP(BH268,Fundamentus!A:U,17,FALSE)&gt;0.1,"Bom retorno","n/a"))</f>
        <v>Fraco retorno</v>
      </c>
      <c r="ET268" s="20" t="str">
        <f>IF(VLOOKUP(BH268,Fundamentus!A:U,16,FALSE)&lt;0.1,"Ineficiente",IF(VLOOKUP(BH268,Fundamentus!A:U,16,FALSE)&gt;0.1,"Eficiente","n/a"))</f>
        <v>Ineficiente</v>
      </c>
      <c r="EU268" s="41" t="str">
        <f>IF(VLOOKUP(BH268,Fundamentus!A:U,16,FALSE)&lt;0.1,"Oper. Ineficiente",IF(VLOOKUP(BH268,Fundamentus!A:U,16,FALSE)&gt;0.1,"Oper.Eficiente","n/a"))</f>
        <v>Oper. Ineficiente</v>
      </c>
      <c r="EV268" s="42">
        <f>VLOOKUP(BH268,Fundamentus!A:U,14,FALSE)</f>
        <v>-0.41139999999999999</v>
      </c>
      <c r="EW268" s="20" t="str">
        <f>IF(VLOOKUP(BH268,Fundamentus!A:U,21,FALSE)&lt;0,"Negativo",IF(VLOOKUP(BH268,Fundamentus!A:U,21,FALSE)&lt;0.05,"Fraco",IF(VLOOKUP(BH268,Fundamentus!A:U,21,FALSE)&lt;0.1,"Bom",IF(VLOOKUP(BH268,Fundamentus!A:U,21,FALSE)&gt;0.1,"Muito bom","n/a"))))</f>
        <v>Negativo</v>
      </c>
      <c r="EY268" s="37" t="str">
        <f>IF(VLOOKUP(BH268,Fundamentus!A:U,15,FALSE)&gt;1,"Bom",IF(VLOOKUP(BH268,Fundamentus!A:U,15,FALSE)&lt;1,"Ruim","n/a"))</f>
        <v>Ruim</v>
      </c>
      <c r="EZ268" s="20" t="str">
        <f>IF(VLOOKUP(BH268,Fundamentus!A:U,20,FALSE)&lt;0.5,"Baixa",IF(VLOOKUP(BH268,Fundamentus!A:U,20,FALSE)&lt;1,"Moderada",IF(VLOOKUP(BH268,Fundamentus!A:U,20,FALSE)&lt;2,"Alerta",IF(VLOOKUP(BH268,Fundamentus!A:U,20,FALSE)&gt;2,"Alta","n/a"))))</f>
        <v>Alta</v>
      </c>
    </row>
    <row r="269" spans="1:156" s="2" customFormat="1" ht="11.25" hidden="1" x14ac:dyDescent="0.2">
      <c r="A269" s="4">
        <v>5.59</v>
      </c>
      <c r="B269" s="4">
        <v>5.59</v>
      </c>
      <c r="C269" s="4">
        <v>5.58</v>
      </c>
      <c r="D269" s="4">
        <v>5.56</v>
      </c>
      <c r="E269" s="4">
        <v>5.6</v>
      </c>
      <c r="F269" s="4">
        <v>5.64</v>
      </c>
      <c r="G269" s="4">
        <v>5.64</v>
      </c>
      <c r="H269" s="4">
        <v>5.64</v>
      </c>
      <c r="I269" s="4">
        <v>5.63</v>
      </c>
      <c r="J269" s="4">
        <v>5.68</v>
      </c>
      <c r="K269" s="4">
        <v>5.73</v>
      </c>
      <c r="L269" s="4">
        <v>5.75</v>
      </c>
      <c r="M269" s="4">
        <v>5.76</v>
      </c>
      <c r="N269" s="4">
        <v>5.78</v>
      </c>
      <c r="O269" s="4">
        <v>5.79</v>
      </c>
      <c r="P269" s="4">
        <v>5.82</v>
      </c>
      <c r="Q269" s="4">
        <v>5.83</v>
      </c>
      <c r="R269" s="4">
        <v>5.83</v>
      </c>
      <c r="S269" s="4">
        <v>5.83</v>
      </c>
      <c r="T269" s="4">
        <v>5.83</v>
      </c>
      <c r="U269" s="4">
        <v>5.83</v>
      </c>
      <c r="V269" s="4">
        <v>5.83</v>
      </c>
      <c r="W269" s="4">
        <v>5.83</v>
      </c>
      <c r="X269" s="4">
        <v>5.83</v>
      </c>
      <c r="Y269" s="4">
        <v>5.83</v>
      </c>
      <c r="Z269" s="4">
        <v>5.83</v>
      </c>
      <c r="AA269" s="4">
        <v>5.83</v>
      </c>
      <c r="AB269" s="4">
        <v>5.83</v>
      </c>
      <c r="AC269" s="4">
        <v>5.83</v>
      </c>
      <c r="AD269" s="4">
        <v>5.83</v>
      </c>
      <c r="AE269" s="4">
        <v>5.83</v>
      </c>
      <c r="AF269" s="4">
        <v>5.83</v>
      </c>
      <c r="AG269" s="4">
        <v>5.83</v>
      </c>
      <c r="AH269" s="4" t="e">
        <v>#N/A</v>
      </c>
      <c r="AI269" s="4">
        <v>5.83</v>
      </c>
      <c r="AJ269" s="4">
        <v>5.83</v>
      </c>
      <c r="AK269" s="4">
        <v>5.83</v>
      </c>
      <c r="AL269" s="4">
        <v>5.83</v>
      </c>
      <c r="AM269" s="4">
        <v>5.83</v>
      </c>
      <c r="AN269" s="4">
        <v>5.83</v>
      </c>
      <c r="AO269" s="4">
        <v>5.83</v>
      </c>
      <c r="AP269" s="4">
        <v>5.83</v>
      </c>
      <c r="AQ269" s="4">
        <v>5.83</v>
      </c>
      <c r="AR269" s="4">
        <v>5.83</v>
      </c>
      <c r="AS269" s="4">
        <v>5.83</v>
      </c>
      <c r="AT269" s="4">
        <v>5.83</v>
      </c>
      <c r="AU269" s="4">
        <v>5.8250000000000002</v>
      </c>
      <c r="AV269" s="4">
        <v>5.83</v>
      </c>
      <c r="AW269" s="4">
        <v>5.83</v>
      </c>
      <c r="AX269" s="4">
        <v>5.83</v>
      </c>
      <c r="AY269" s="12">
        <v>5.83</v>
      </c>
      <c r="AZ269" s="12">
        <v>5.83</v>
      </c>
      <c r="BA269" s="12">
        <v>5.83</v>
      </c>
      <c r="BB269" s="18" t="e" vm="271">
        <v>#VALUE!</v>
      </c>
      <c r="BC269" s="63" t="e" vm="271">
        <v>#VALUE!</v>
      </c>
      <c r="BD269" s="63" t="e" vm="271">
        <v>#VALUE!</v>
      </c>
      <c r="BE269" s="63" t="e" vm="271">
        <v>#VALUE!</v>
      </c>
      <c r="BF269" s="63" t="e" vm="271">
        <v>#VALUE!</v>
      </c>
      <c r="BG269" s="91" t="e" cm="1" vm="271">
        <f t="array" ref="BG269">_FV(EE269,"Preço")</f>
        <v>#VALUE!</v>
      </c>
      <c r="BH269" s="93" t="s">
        <v>266</v>
      </c>
      <c r="BI269" s="32" t="e" cm="1" vm="136">
        <f t="array" ref="BI269">_FV(EE269,"Beta")</f>
        <v>#VALUE!</v>
      </c>
      <c r="BJ269" s="96" t="e" cm="1" vm="272">
        <f t="array" ref="BJ269">_FV(EE269,"Variação (%)",TRUE)</f>
        <v>#VALUE!</v>
      </c>
      <c r="BK269" s="49"/>
      <c r="BL269" s="49"/>
      <c r="BN269" s="32"/>
      <c r="BO269" s="20" t="e" cm="1" vm="273">
        <f t="array" ref="BO269">_FV(EE269,"Baixo")</f>
        <v>#VALUE!</v>
      </c>
      <c r="BP269" s="20" t="e" cm="1" vm="274">
        <f t="array" ref="BP269">_FV(EE269,"Alto")</f>
        <v>#VALUE!</v>
      </c>
      <c r="BQ269" s="32"/>
      <c r="BR269" s="74" t="e" vm="137">
        <f>SQRT(22.5*(BG269/VLOOKUP(BH269,Fundamentus!A:U,3,FALSE))*(BG269/VLOOKUP(BH269,Fundamentus!A:U,4,FALSE)))</f>
        <v>#VALUE!</v>
      </c>
      <c r="BT269" s="73" t="e" vm="137">
        <f t="shared" si="296"/>
        <v>#VALUE!</v>
      </c>
      <c r="BU269" s="36" t="e" vm="137">
        <f t="shared" si="297"/>
        <v>#VALUE!</v>
      </c>
      <c r="BV269" s="8"/>
      <c r="BW269" s="72" t="e">
        <f t="shared" si="298"/>
        <v>#N/A</v>
      </c>
      <c r="BX269" s="72" t="e">
        <f t="shared" si="299"/>
        <v>#N/A</v>
      </c>
      <c r="BY269" s="72" t="e">
        <f t="shared" si="300"/>
        <v>#N/A</v>
      </c>
      <c r="BZ269" s="17"/>
      <c r="CA269" s="17"/>
      <c r="CB269" s="43" t="e">
        <f t="shared" si="301"/>
        <v>#VALUE!</v>
      </c>
      <c r="CC269" s="18" t="e">
        <f t="shared" si="302"/>
        <v>#VALUE!</v>
      </c>
      <c r="CD269" s="43" t="e">
        <f t="shared" si="303"/>
        <v>#VALUE!</v>
      </c>
      <c r="CE269" s="98" t="e" vm="137">
        <f t="shared" si="304"/>
        <v>#VALUE!</v>
      </c>
      <c r="CF269" s="17"/>
      <c r="CG269" s="20" t="e">
        <f t="shared" si="305"/>
        <v>#N/A</v>
      </c>
      <c r="CH269" s="20" t="e">
        <f t="shared" si="306"/>
        <v>#N/A</v>
      </c>
      <c r="CI269" s="20" t="e">
        <f t="shared" si="307"/>
        <v>#N/A</v>
      </c>
      <c r="CJ269" s="49" t="e">
        <f t="shared" si="308"/>
        <v>#N/A</v>
      </c>
      <c r="CK269" s="20" t="e">
        <f t="shared" si="309"/>
        <v>#N/A</v>
      </c>
      <c r="CL269" s="20" t="e">
        <f t="shared" si="310"/>
        <v>#N/A</v>
      </c>
      <c r="CM269" s="20" t="e">
        <f t="shared" si="311"/>
        <v>#N/A</v>
      </c>
      <c r="CN269" s="2" t="e" cm="1">
        <f t="array" ref="CN269">MAX(_xlfn._xlws.FILTER(CG269:CM269,CG269:CM269&lt;BG269))</f>
        <v>#N/A</v>
      </c>
      <c r="CO269" s="2" t="e" cm="1">
        <f t="array" ref="CO269">MIN(_xlfn._xlws.FILTER($CG269:$CM269,$CG269:$CM269&gt;BG269))</f>
        <v>#N/A</v>
      </c>
      <c r="CP269" s="19" t="e">
        <f t="shared" si="312"/>
        <v>#N/A</v>
      </c>
      <c r="CQ269" s="23" t="e">
        <f t="shared" si="313"/>
        <v>#N/A</v>
      </c>
      <c r="CR269" s="23" t="e">
        <f t="shared" si="314"/>
        <v>#N/A</v>
      </c>
      <c r="CS269" s="23" t="e">
        <f t="shared" si="315"/>
        <v>#N/A</v>
      </c>
      <c r="CT269" s="23" t="e">
        <f t="shared" si="316"/>
        <v>#N/A</v>
      </c>
      <c r="CU269" s="23" t="e">
        <f t="shared" si="329"/>
        <v>#N/A</v>
      </c>
      <c r="CV269" s="23" t="e">
        <f t="shared" si="330"/>
        <v>#N/A</v>
      </c>
      <c r="CW269" s="23" t="e">
        <f t="shared" si="331"/>
        <v>#N/A</v>
      </c>
      <c r="CX269" s="24" t="e">
        <f t="shared" si="332"/>
        <v>#N/A</v>
      </c>
      <c r="CY269" s="24" t="e">
        <f t="shared" si="333"/>
        <v>#N/A</v>
      </c>
      <c r="CZ269" s="24" t="e">
        <f t="shared" si="334"/>
        <v>#N/A</v>
      </c>
      <c r="DA269" s="24" t="e">
        <f t="shared" si="317"/>
        <v>#N/A</v>
      </c>
      <c r="DB269" s="24" t="e">
        <f t="shared" si="318"/>
        <v>#N/A</v>
      </c>
      <c r="DC269" s="24" t="e">
        <f t="shared" si="319"/>
        <v>#N/A</v>
      </c>
      <c r="DD269" s="24" t="e">
        <f t="shared" si="320"/>
        <v>#N/A</v>
      </c>
      <c r="DF269" s="19" t="e" cm="1">
        <f t="array" ref="DF269">MAX(_xlfn._xlws.FILTER(CQ269:DD269,CQ269:DD269&lt;BJ269))</f>
        <v>#N/A</v>
      </c>
      <c r="DG269" s="19" t="e" cm="1">
        <f t="array" ref="DG269">MIN(_xlfn._xlws.FILTER(CQ269:DD269,CQ269:DD269&gt;BJ269))</f>
        <v>#N/A</v>
      </c>
      <c r="DH269" s="2" t="e" cm="1" vm="275">
        <f t="array" ref="DH269">_FV(EE269,"Fechamento anterior",TRUE)</f>
        <v>#VALUE!</v>
      </c>
      <c r="DI269" s="36" t="e" vm="137">
        <f t="shared" si="321"/>
        <v>#VALUE!</v>
      </c>
      <c r="DJ269" s="18" t="e" vm="137">
        <f t="shared" si="294"/>
        <v>#VALUE!</v>
      </c>
      <c r="DK269" s="18" t="e" vm="137">
        <f t="shared" si="295"/>
        <v>#VALUE!</v>
      </c>
      <c r="DL269" s="9"/>
      <c r="DM269" s="9"/>
      <c r="DN269" s="9"/>
      <c r="DO269" s="9"/>
      <c r="DP269" s="79" t="e">
        <v>#N/A</v>
      </c>
      <c r="DQ269" s="79" t="e">
        <v>#N/A</v>
      </c>
      <c r="DR269" s="79" t="e">
        <v>#N/A</v>
      </c>
      <c r="DS269" s="79" t="e">
        <f t="shared" si="322"/>
        <v>#N/A</v>
      </c>
      <c r="DT269" s="47"/>
      <c r="DU269" s="43" t="e" vm="137">
        <f t="shared" si="323"/>
        <v>#VALUE!</v>
      </c>
      <c r="DV269" s="83" t="e" vm="137">
        <f t="shared" ca="1" si="324"/>
        <v>#VALUE!</v>
      </c>
      <c r="DW269" s="83" t="e" vm="137">
        <f t="shared" si="325"/>
        <v>#VALUE!</v>
      </c>
      <c r="DX269" s="83" t="e" vm="137">
        <f t="shared" ca="1" si="276"/>
        <v>#VALUE!</v>
      </c>
      <c r="DY269" s="67"/>
      <c r="DZ269" s="67"/>
      <c r="EA269" s="85"/>
      <c r="EB269" s="44" t="e" vm="276">
        <v>#VALUE!</v>
      </c>
      <c r="EC269" s="44" t="e" cm="1" vm="276">
        <f t="array" ref="EC269">_FV(EE269,"Volume")</f>
        <v>#VALUE!</v>
      </c>
      <c r="EE269" s="2" t="s">
        <v>266</v>
      </c>
      <c r="EG269" s="10" t="e" cm="1" vm="151">
        <f t="array" ref="EG269">_FV(EE269,"Ações em circulação",TRUE)</f>
        <v>#VALUE!</v>
      </c>
      <c r="EH269" s="21" t="e">
        <f>VLOOKUP(BH269,Fundamentus!A:U,5,FALSE)</f>
        <v>#N/A</v>
      </c>
      <c r="EI269" s="2" t="e" vm="137">
        <f t="shared" si="326"/>
        <v>#VALUE!</v>
      </c>
      <c r="EJ269" s="20" t="e" vm="137">
        <v>#VALUE!</v>
      </c>
      <c r="EK269" s="20" t="e" vm="137">
        <f t="shared" si="327"/>
        <v>#VALUE!</v>
      </c>
      <c r="EM269" s="40" t="e">
        <f>IF(VLOOKUP(BH269,Fundamentus!A:U,3,FALSE)&lt;15,"Bom",IF(VLOOKUP(BH269,Fundamentus!A:U,3,FALSE)&gt;15,"Ruim","n/a"))</f>
        <v>#N/A</v>
      </c>
      <c r="EN269" s="36" t="e">
        <f>IF(VLOOKUP(BH269,Fundamentus!A:U,4,FALSE)&lt;1,"Baixo",IF(VLOOKUP(BH269,Fundamentus!A:U,4,FALSE)&lt;1.5,"Moderado",IF(VLOOKUP(BH269,Fundamentus!A:U,4,FALSE)&gt;1.5,"Alto","n/a")))</f>
        <v>#N/A</v>
      </c>
      <c r="EO269" s="20" t="e">
        <f>IF(VLOOKUP(BH269,Fundamentus!A:U,8,FALSE)&lt;0,"Risco elevado",IF(VLOOKUP(BH269,Fundamentus!A:U,8,FALSE)&lt;1,"Saudável",IF(VLOOKUP(BH269,Fundamentus!A:U,8,FALSE)&lt;3,"Estável",IF(VLOOKUP(BH269,Fundamentus!A:U,8,FALSE)&gt;3,"Alerta","n/a"))))</f>
        <v>#N/A</v>
      </c>
      <c r="EP269" s="36" t="e">
        <f t="shared" si="328"/>
        <v>#N/A</v>
      </c>
      <c r="EQ269" s="20" t="e">
        <f>IF(VLOOKUP(BH269,Fundamentus!A:U,12,FALSE)&lt;2,"Subvalorizada",IF(VLOOKUP(BH269,Fundamentus!A:U,12,FALSE)&lt;6,"Muita barata",IF(VLOOKUP(BH269,Fundamentus!A:U,12,FALSE)&lt;6,"Barata",IF(VLOOKUP(BH269,Fundamentus!A:U,12,FALSE)&lt;8,"Atrativa",IF(VLOOKUP(BH269,Fundamentus!A:U,12,FALSE)&gt;8,"Supervalorizada","n/a")))))</f>
        <v>#N/A</v>
      </c>
      <c r="ES269" s="20" t="e">
        <f>IF(VLOOKUP(BH269,Fundamentus!A:U,17,FALSE)&lt;0.1,"Fraco retorno",IF(VLOOKUP(BH269,Fundamentus!A:U,17,FALSE)&gt;0.1,"Bom retorno","n/a"))</f>
        <v>#N/A</v>
      </c>
      <c r="ET269" s="20" t="e">
        <f>IF(VLOOKUP(BH269,Fundamentus!A:U,16,FALSE)&lt;0.1,"Ineficiente",IF(VLOOKUP(BH269,Fundamentus!A:U,16,FALSE)&gt;0.1,"Eficiente","n/a"))</f>
        <v>#N/A</v>
      </c>
      <c r="EU269" s="41" t="e">
        <f>IF(VLOOKUP(BH269,Fundamentus!A:U,16,FALSE)&lt;0.1,"Oper. Ineficiente",IF(VLOOKUP(BH269,Fundamentus!A:U,16,FALSE)&gt;0.1,"Oper.Eficiente","n/a"))</f>
        <v>#N/A</v>
      </c>
      <c r="EV269" s="42" t="e">
        <f>VLOOKUP(BH269,Fundamentus!A:U,14,FALSE)</f>
        <v>#N/A</v>
      </c>
      <c r="EW269" s="20" t="e">
        <f>IF(VLOOKUP(BH269,Fundamentus!A:U,21,FALSE)&lt;0,"Negativo",IF(VLOOKUP(BH269,Fundamentus!A:U,21,FALSE)&lt;0.05,"Fraco",IF(VLOOKUP(BH269,Fundamentus!A:U,21,FALSE)&lt;0.1,"Bom",IF(VLOOKUP(BH269,Fundamentus!A:U,21,FALSE)&gt;0.1,"Muito bom","n/a"))))</f>
        <v>#N/A</v>
      </c>
      <c r="EY269" s="37" t="e">
        <f>IF(VLOOKUP(BH269,Fundamentus!A:U,15,FALSE)&gt;1,"Bom",IF(VLOOKUP(BH269,Fundamentus!A:U,15,FALSE)&lt;1,"Ruim","n/a"))</f>
        <v>#N/A</v>
      </c>
      <c r="EZ269" s="20" t="e">
        <f>IF(VLOOKUP(BH269,Fundamentus!A:U,20,FALSE)&lt;0.5,"Baixa",IF(VLOOKUP(BH269,Fundamentus!A:U,20,FALSE)&lt;1,"Moderada",IF(VLOOKUP(BH269,Fundamentus!A:U,20,FALSE)&lt;2,"Alerta",IF(VLOOKUP(BH269,Fundamentus!A:U,20,FALSE)&gt;2,"Alta","n/a"))))</f>
        <v>#N/A</v>
      </c>
    </row>
    <row r="270" spans="1:156" s="2" customFormat="1" ht="11.25" hidden="1" x14ac:dyDescent="0.2">
      <c r="A270" s="4">
        <v>12.17</v>
      </c>
      <c r="B270" s="4">
        <v>11.6</v>
      </c>
      <c r="C270" s="4">
        <v>11.59</v>
      </c>
      <c r="D270" s="4">
        <v>11.7</v>
      </c>
      <c r="E270" s="4">
        <v>11.41</v>
      </c>
      <c r="F270" s="4">
        <v>11.21</v>
      </c>
      <c r="G270" s="4">
        <v>11.08</v>
      </c>
      <c r="H270" s="4">
        <v>11.19</v>
      </c>
      <c r="I270" s="4">
        <v>11.3</v>
      </c>
      <c r="J270" s="4">
        <v>11.48</v>
      </c>
      <c r="K270" s="4">
        <v>11.64</v>
      </c>
      <c r="L270" s="4">
        <v>11.29</v>
      </c>
      <c r="M270" s="4">
        <v>11.22</v>
      </c>
      <c r="N270" s="4">
        <v>11.48</v>
      </c>
      <c r="O270" s="4">
        <v>11.69</v>
      </c>
      <c r="P270" s="4">
        <v>11.55</v>
      </c>
      <c r="Q270" s="4">
        <v>11.84</v>
      </c>
      <c r="R270" s="4">
        <v>11.77</v>
      </c>
      <c r="S270" s="4">
        <v>11.96</v>
      </c>
      <c r="T270" s="4">
        <v>11.75</v>
      </c>
      <c r="U270" s="4">
        <v>11.47</v>
      </c>
      <c r="V270" s="4">
        <v>11.37</v>
      </c>
      <c r="W270" s="4">
        <v>11.41</v>
      </c>
      <c r="X270" s="4">
        <v>11.44</v>
      </c>
      <c r="Y270" s="4">
        <v>11.41</v>
      </c>
      <c r="Z270" s="4">
        <v>11.42</v>
      </c>
      <c r="AA270" s="4">
        <v>11.48</v>
      </c>
      <c r="AB270" s="4">
        <v>11.68</v>
      </c>
      <c r="AC270" s="4">
        <v>11.29</v>
      </c>
      <c r="AD270" s="4">
        <v>11.36</v>
      </c>
      <c r="AE270" s="4">
        <v>11.4</v>
      </c>
      <c r="AF270" s="4">
        <v>11.49</v>
      </c>
      <c r="AG270" s="4">
        <v>11.3</v>
      </c>
      <c r="AH270" s="4">
        <v>10.88</v>
      </c>
      <c r="AI270" s="4">
        <v>11.08</v>
      </c>
      <c r="AJ270" s="4">
        <v>10.7</v>
      </c>
      <c r="AK270" s="4">
        <v>10.83</v>
      </c>
      <c r="AL270" s="4">
        <v>10.9</v>
      </c>
      <c r="AM270" s="4">
        <v>10.72</v>
      </c>
      <c r="AN270" s="4">
        <v>11.1</v>
      </c>
      <c r="AO270" s="4">
        <v>10.99</v>
      </c>
      <c r="AP270" s="4">
        <v>11.04</v>
      </c>
      <c r="AQ270" s="4">
        <v>10.91</v>
      </c>
      <c r="AR270" s="4">
        <v>10.94</v>
      </c>
      <c r="AS270" s="4">
        <v>11.08</v>
      </c>
      <c r="AT270" s="4">
        <v>11.35</v>
      </c>
      <c r="AU270" s="4">
        <v>11.515000000000001</v>
      </c>
      <c r="AV270" s="4">
        <v>11.34</v>
      </c>
      <c r="AW270" s="4">
        <v>11.4</v>
      </c>
      <c r="AX270" s="4">
        <v>11.3</v>
      </c>
      <c r="AY270" s="12">
        <v>11.44</v>
      </c>
      <c r="AZ270" s="12">
        <v>12</v>
      </c>
      <c r="BA270" s="12">
        <v>11.95</v>
      </c>
      <c r="BB270" s="18">
        <v>11.94</v>
      </c>
      <c r="BC270" s="63">
        <v>11.74</v>
      </c>
      <c r="BD270" s="63">
        <v>11.72</v>
      </c>
      <c r="BE270" s="63">
        <v>11.74</v>
      </c>
      <c r="BF270" s="63">
        <v>11.48</v>
      </c>
      <c r="BG270" s="91" cm="1">
        <f t="array" aca="1" ref="BG270" ca="1">_FV(EE270,"Preço")</f>
        <v>11.34</v>
      </c>
      <c r="BH270" s="93" t="s">
        <v>267</v>
      </c>
      <c r="BI270" s="32" cm="1">
        <f t="array" aca="1" ref="BI270" ca="1">_FV(EE270,"Beta")</f>
        <v>0.68859999999999999</v>
      </c>
      <c r="BJ270" s="96" cm="1">
        <f t="array" aca="1" ref="BJ270" ca="1">_FV(EE270,"Variação (%)",TRUE)</f>
        <v>6.2109999999999995E-3</v>
      </c>
      <c r="BK270" s="49"/>
      <c r="BL270" s="49"/>
      <c r="BN270" s="32"/>
      <c r="BO270" s="20" cm="1">
        <f t="array" aca="1" ref="BO270" ca="1">_FV(EE270,"Baixo")</f>
        <v>11.15</v>
      </c>
      <c r="BP270" s="20" cm="1">
        <f t="array" aca="1" ref="BP270" ca="1">_FV(EE270,"Alto")</f>
        <v>11.35</v>
      </c>
      <c r="BQ270" s="32"/>
      <c r="BR270" s="74">
        <f ca="1">SQRT(22.5*(BG270/VLOOKUP(BH270,Fundamentus!A:U,3,FALSE))*(BG270/VLOOKUP(BH270,Fundamentus!A:U,4,FALSE)))</f>
        <v>15.96201804194787</v>
      </c>
      <c r="BT270" s="73">
        <f t="shared" ca="1" si="296"/>
        <v>-1.2195121951219561E-2</v>
      </c>
      <c r="BU270" s="36">
        <f t="shared" si="297"/>
        <v>-3.5332785538208684E-2</v>
      </c>
      <c r="BV270" s="8"/>
      <c r="BW270" s="72">
        <f t="shared" si="298"/>
        <v>10.7</v>
      </c>
      <c r="BX270" s="72">
        <f t="shared" si="299"/>
        <v>11.405603448275867</v>
      </c>
      <c r="BY270" s="72">
        <f t="shared" si="300"/>
        <v>12.17</v>
      </c>
      <c r="BZ270" s="17"/>
      <c r="CA270" s="17"/>
      <c r="CB270" s="43">
        <f t="shared" si="301"/>
        <v>11.268341143392687</v>
      </c>
      <c r="CC270" s="18">
        <f t="shared" si="302"/>
        <v>11.488341143392688</v>
      </c>
      <c r="CD270" s="43">
        <f t="shared" si="303"/>
        <v>11.708341143392689</v>
      </c>
      <c r="CE270" s="98">
        <f t="shared" ca="1" si="304"/>
        <v>-0.67427792451221724</v>
      </c>
      <c r="CF270" s="17"/>
      <c r="CG270" s="20">
        <f t="shared" si="305"/>
        <v>9.2599999999999945</v>
      </c>
      <c r="CH270" s="20">
        <f t="shared" si="306"/>
        <v>9.9799999999999969</v>
      </c>
      <c r="CI270" s="20">
        <f t="shared" si="307"/>
        <v>10.729999999999995</v>
      </c>
      <c r="CJ270" s="49">
        <f t="shared" si="308"/>
        <v>11.449999999999998</v>
      </c>
      <c r="CK270" s="20">
        <f t="shared" si="309"/>
        <v>12.199999999999996</v>
      </c>
      <c r="CL270" s="20">
        <f t="shared" si="310"/>
        <v>12.919999999999998</v>
      </c>
      <c r="CM270" s="20">
        <f t="shared" si="311"/>
        <v>13.669999999999996</v>
      </c>
      <c r="CN270" s="2" cm="1">
        <f t="array" aca="1" ref="CN270" ca="1">MAX(_xlfn._xlws.FILTER(CG270:CM270,CG270:CM270&lt;BG270))</f>
        <v>10.729999999999995</v>
      </c>
      <c r="CO270" s="2" cm="1">
        <f t="array" aca="1" ref="CO270" ca="1">MIN(_xlfn._xlws.FILTER($CG270:$CM270,$CG270:$CM270&gt;BG270))</f>
        <v>11.449999999999998</v>
      </c>
      <c r="CP270" s="19">
        <f t="shared" ca="1" si="312"/>
        <v>6.7101584342963871E-2</v>
      </c>
      <c r="CQ270" s="23">
        <f t="shared" ca="1" si="313"/>
        <v>-3.3550792171481936E-2</v>
      </c>
      <c r="CR270" s="23">
        <f t="shared" ca="1" si="314"/>
        <v>-2.2367194780987958E-2</v>
      </c>
      <c r="CS270" s="23">
        <f t="shared" ca="1" si="315"/>
        <v>-1.3420316868592774E-2</v>
      </c>
      <c r="CT270" s="23">
        <f t="shared" ca="1" si="316"/>
        <v>-7.4557315936626522E-3</v>
      </c>
      <c r="CU270" s="23">
        <f t="shared" ca="1" si="329"/>
        <v>-3.9471520201743455E-3</v>
      </c>
      <c r="CV270" s="23">
        <f t="shared" ca="1" si="330"/>
        <v>-2.0333813437261781E-3</v>
      </c>
      <c r="CW270" s="23">
        <f t="shared" ca="1" si="331"/>
        <v>-1.0323320668148288E-3</v>
      </c>
      <c r="CX270" s="24">
        <f t="shared" ca="1" si="332"/>
        <v>1.0323320668148288E-3</v>
      </c>
      <c r="CY270" s="24">
        <f t="shared" ca="1" si="333"/>
        <v>2.0333813437261781E-3</v>
      </c>
      <c r="CZ270" s="24">
        <f t="shared" ca="1" si="334"/>
        <v>3.9471520201743455E-3</v>
      </c>
      <c r="DA270" s="24">
        <f t="shared" ca="1" si="317"/>
        <v>7.4557315936626522E-3</v>
      </c>
      <c r="DB270" s="24">
        <f t="shared" ca="1" si="318"/>
        <v>1.3420316868592774E-2</v>
      </c>
      <c r="DC270" s="24">
        <f t="shared" ca="1" si="319"/>
        <v>2.2367194780987958E-2</v>
      </c>
      <c r="DD270" s="24">
        <f t="shared" ca="1" si="320"/>
        <v>3.3550792171481936E-2</v>
      </c>
      <c r="DF270" s="19" cm="1">
        <f t="array" aca="1" ref="DF270" ca="1">MAX(_xlfn._xlws.FILTER(CQ270:DD270,CQ270:DD270&lt;BJ270))</f>
        <v>3.9471520201743455E-3</v>
      </c>
      <c r="DG270" s="19" cm="1">
        <f t="array" aca="1" ref="DG270" ca="1">MIN(_xlfn._xlws.FILTER(CQ270:DD270,CQ270:DD270&gt;BJ270))</f>
        <v>7.4557315936626522E-3</v>
      </c>
      <c r="DH270" s="2" cm="1">
        <f t="array" aca="1" ref="DH270" ca="1">_FV(EE270,"Fechamento anterior",TRUE)</f>
        <v>11.27</v>
      </c>
      <c r="DI270" s="36">
        <f t="shared" ca="1" si="321"/>
        <v>0.64528338509317273</v>
      </c>
      <c r="DJ270" s="18">
        <f t="shared" ca="1" si="294"/>
        <v>11.314484403267365</v>
      </c>
      <c r="DK270" s="18">
        <f t="shared" ca="1" si="295"/>
        <v>11.354026095060577</v>
      </c>
      <c r="DL270" s="9"/>
      <c r="DM270" s="9"/>
      <c r="DN270" s="9"/>
      <c r="DO270" s="9"/>
      <c r="DP270" s="79">
        <v>7.4581430745814352E-3</v>
      </c>
      <c r="DQ270" s="79">
        <v>2.3929870827534019E-3</v>
      </c>
      <c r="DR270" s="79">
        <v>2.289626008282369E-3</v>
      </c>
      <c r="DS270" s="79">
        <f t="shared" ca="1" si="322"/>
        <v>3.5085795734883067E-3</v>
      </c>
      <c r="DT270" s="47"/>
      <c r="DU270" s="43">
        <f t="shared" si="323"/>
        <v>0.10999999999999995</v>
      </c>
      <c r="DV270" s="83">
        <f t="shared" ca="1" si="324"/>
        <v>1.1147</v>
      </c>
      <c r="DW270" s="83">
        <f t="shared" ca="1" si="325"/>
        <v>6.7500000000000004E-2</v>
      </c>
      <c r="DX270" s="83">
        <f t="shared" ca="1" si="276"/>
        <v>1.0472000000000001</v>
      </c>
      <c r="DY270" s="67"/>
      <c r="DZ270" s="67"/>
      <c r="EA270" s="85"/>
      <c r="EB270" s="44">
        <v>45000</v>
      </c>
      <c r="EC270" s="44" cm="1">
        <f t="array" aca="1" ref="EC270" ca="1">_FV(EE270,"Volume")</f>
        <v>52300</v>
      </c>
      <c r="EE270" s="2" t="e" vm="277">
        <v>#VALUE!</v>
      </c>
      <c r="EG270" s="10" cm="1">
        <f t="array" aca="1" ref="EG270" ca="1">_FV(EE270,"Ações em circulação",TRUE)</f>
        <v>344498900</v>
      </c>
      <c r="EH270" s="21">
        <f>VLOOKUP(BH270,Fundamentus!A:U,5,FALSE)</f>
        <v>2.976</v>
      </c>
      <c r="EI270" s="2">
        <f t="shared" ca="1" si="326"/>
        <v>1312707502.016129</v>
      </c>
      <c r="EJ270" s="20">
        <v>564123894.29233873</v>
      </c>
      <c r="EK270" s="20">
        <f t="shared" ca="1" si="327"/>
        <v>557244334.60584676</v>
      </c>
      <c r="EM270" s="40" t="str">
        <f>IF(VLOOKUP(BH270,Fundamentus!A:U,3,FALSE)&lt;15,"Bom",IF(VLOOKUP(BH270,Fundamentus!A:U,3,FALSE)&gt;15,"Ruim","n/a"))</f>
        <v>Bom</v>
      </c>
      <c r="EN270" s="36" t="str">
        <f>IF(VLOOKUP(BH270,Fundamentus!A:U,4,FALSE)&lt;1,"Baixo",IF(VLOOKUP(BH270,Fundamentus!A:U,4,FALSE)&lt;1.5,"Moderado",IF(VLOOKUP(BH270,Fundamentus!A:U,4,FALSE)&gt;1.5,"Alto","n/a")))</f>
        <v>Alto</v>
      </c>
      <c r="EO270" s="20" t="str">
        <f>IF(VLOOKUP(BH270,Fundamentus!A:U,8,FALSE)&lt;0,"Risco elevado",IF(VLOOKUP(BH270,Fundamentus!A:U,8,FALSE)&lt;1,"Saudável",IF(VLOOKUP(BH270,Fundamentus!A:U,8,FALSE)&lt;3,"Estável",IF(VLOOKUP(BH270,Fundamentus!A:U,8,FALSE)&gt;3,"Alerta","n/a"))))</f>
        <v>Alerta</v>
      </c>
      <c r="EP270" s="36" t="str">
        <f t="shared" si="328"/>
        <v>Bom</v>
      </c>
      <c r="EQ270" s="20" t="str">
        <f>IF(VLOOKUP(BH270,Fundamentus!A:U,12,FALSE)&lt;2,"Subvalorizada",IF(VLOOKUP(BH270,Fundamentus!A:U,12,FALSE)&lt;6,"Muita barata",IF(VLOOKUP(BH270,Fundamentus!A:U,12,FALSE)&lt;6,"Barata",IF(VLOOKUP(BH270,Fundamentus!A:U,12,FALSE)&lt;8,"Atrativa",IF(VLOOKUP(BH270,Fundamentus!A:U,12,FALSE)&gt;8,"Supervalorizada","n/a")))))</f>
        <v>Supervalorizada</v>
      </c>
      <c r="ES270" s="20" t="str">
        <f>IF(VLOOKUP(BH270,Fundamentus!A:U,17,FALSE)&lt;0.1,"Fraco retorno",IF(VLOOKUP(BH270,Fundamentus!A:U,17,FALSE)&gt;0.1,"Bom retorno","n/a"))</f>
        <v>Bom retorno</v>
      </c>
      <c r="ET270" s="20" t="str">
        <f>IF(VLOOKUP(BH270,Fundamentus!A:U,16,FALSE)&lt;0.1,"Ineficiente",IF(VLOOKUP(BH270,Fundamentus!A:U,16,FALSE)&gt;0.1,"Eficiente","n/a"))</f>
        <v>Eficiente</v>
      </c>
      <c r="EU270" s="41" t="str">
        <f>IF(VLOOKUP(BH270,Fundamentus!A:U,16,FALSE)&lt;0.1,"Oper. Ineficiente",IF(VLOOKUP(BH270,Fundamentus!A:U,16,FALSE)&gt;0.1,"Oper.Eficiente","n/a"))</f>
        <v>Oper.Eficiente</v>
      </c>
      <c r="EV270" s="42">
        <f>VLOOKUP(BH270,Fundamentus!A:U,14,FALSE)</f>
        <v>0.42449999999999999</v>
      </c>
      <c r="EW270" s="20" t="str">
        <f>IF(VLOOKUP(BH270,Fundamentus!A:U,21,FALSE)&lt;0,"Negativo",IF(VLOOKUP(BH270,Fundamentus!A:U,21,FALSE)&lt;0.05,"Fraco",IF(VLOOKUP(BH270,Fundamentus!A:U,21,FALSE)&lt;0.1,"Bom",IF(VLOOKUP(BH270,Fundamentus!A:U,21,FALSE)&gt;0.1,"Muito bom","n/a"))))</f>
        <v>Fraco</v>
      </c>
      <c r="EY270" s="37" t="str">
        <f>IF(VLOOKUP(BH270,Fundamentus!A:U,15,FALSE)&gt;1,"Bom",IF(VLOOKUP(BH270,Fundamentus!A:U,15,FALSE)&lt;1,"Ruim","n/a"))</f>
        <v>Bom</v>
      </c>
      <c r="EZ270" s="20" t="str">
        <f>IF(VLOOKUP(BH270,Fundamentus!A:U,20,FALSE)&lt;0.5,"Baixa",IF(VLOOKUP(BH270,Fundamentus!A:U,20,FALSE)&lt;1,"Moderada",IF(VLOOKUP(BH270,Fundamentus!A:U,20,FALSE)&lt;2,"Alerta",IF(VLOOKUP(BH270,Fundamentus!A:U,20,FALSE)&gt;2,"Alta","n/a"))))</f>
        <v>Alerta</v>
      </c>
    </row>
    <row r="273" spans="1:143"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8"/>
      <c r="AU273" s="68"/>
      <c r="AV273" s="68"/>
      <c r="AW273" s="68"/>
      <c r="AX273" s="68"/>
      <c r="AY273" s="68"/>
      <c r="AZ273" s="68"/>
      <c r="BA273" s="68"/>
      <c r="BB273" s="68"/>
      <c r="BC273" s="68"/>
      <c r="BD273" s="68"/>
      <c r="BE273" s="68"/>
      <c r="BF273" s="68"/>
      <c r="DS273" s="8"/>
    </row>
    <row r="274" spans="1:143" x14ac:dyDescent="0.25">
      <c r="BD274" s="47"/>
      <c r="CI274" s="19"/>
    </row>
    <row r="275" spans="1:143" x14ac:dyDescent="0.25">
      <c r="BR275" s="70"/>
      <c r="CH275" s="82"/>
      <c r="DQ275" s="1" t="s">
        <v>485</v>
      </c>
    </row>
    <row r="276" spans="1:143" x14ac:dyDescent="0.25">
      <c r="BO276" s="1" t="s">
        <v>485</v>
      </c>
      <c r="CG276" s="22"/>
      <c r="CH276" s="22"/>
    </row>
    <row r="277" spans="1:143" x14ac:dyDescent="0.25">
      <c r="EM277" s="7"/>
    </row>
  </sheetData>
  <autoFilter ref="A4:FL270" xr:uid="{00000000-0001-0000-0000-000000000000}">
    <filterColumn colId="62">
      <customFilters>
        <customFilter operator="notEqual" val=" "/>
      </customFilters>
    </filterColumn>
  </autoFilter>
  <sortState xmlns:xlrd2="http://schemas.microsoft.com/office/spreadsheetml/2017/richdata2" ref="A18:FB185">
    <sortCondition descending="1" ref="BT18:BT185"/>
  </sortState>
  <mergeCells count="3">
    <mergeCell ref="ES3:EW3"/>
    <mergeCell ref="EY3:EZ3"/>
    <mergeCell ref="EM3:EQ3"/>
  </mergeCells>
  <conditionalFormatting sqref="AY5:AZ270">
    <cfRule type="expression" dxfId="58" priority="159">
      <formula>AY5&gt;AX5</formula>
    </cfRule>
  </conditionalFormatting>
  <conditionalFormatting sqref="BA5:BF270">
    <cfRule type="expression" dxfId="57" priority="94">
      <formula>BA5&gt;=AZ5</formula>
    </cfRule>
    <cfRule type="expression" dxfId="56" priority="93">
      <formula>BA5=AZ5</formula>
    </cfRule>
  </conditionalFormatting>
  <conditionalFormatting sqref="BC3">
    <cfRule type="cellIs" dxfId="55" priority="91" operator="greaterThan">
      <formula>0</formula>
    </cfRule>
    <cfRule type="cellIs" dxfId="54" priority="90" operator="lessThan">
      <formula>0</formula>
    </cfRule>
  </conditionalFormatting>
  <conditionalFormatting sqref="BD274">
    <cfRule type="expression" dxfId="53" priority="13">
      <formula>BD274=BC274</formula>
    </cfRule>
    <cfRule type="expression" dxfId="52" priority="14">
      <formula>BD274&gt;=BC274</formula>
    </cfRule>
  </conditionalFormatting>
  <conditionalFormatting sqref="BE2:BG2">
    <cfRule type="cellIs" dxfId="51" priority="22" operator="greaterThanOrEqual">
      <formula>0</formula>
    </cfRule>
  </conditionalFormatting>
  <conditionalFormatting sqref="BE2:BG3">
    <cfRule type="cellIs" dxfId="50" priority="21" operator="lessThan">
      <formula>0</formula>
    </cfRule>
  </conditionalFormatting>
  <conditionalFormatting sqref="BE3:BG3">
    <cfRule type="cellIs" dxfId="49" priority="87" operator="greaterThan">
      <formula>0</formula>
    </cfRule>
    <cfRule type="cellIs" dxfId="48" priority="86" operator="greaterThan">
      <formula>0</formula>
    </cfRule>
    <cfRule type="expression" dxfId="47" priority="276">
      <formula>BE3=#REF!</formula>
    </cfRule>
    <cfRule type="cellIs" dxfId="46" priority="275" operator="between">
      <formula>0</formula>
      <formula>0.01</formula>
    </cfRule>
  </conditionalFormatting>
  <conditionalFormatting sqref="BG5:BG270">
    <cfRule type="expression" dxfId="45" priority="280">
      <formula>BG5&gt;=BF5</formula>
    </cfRule>
    <cfRule type="expression" dxfId="44" priority="279">
      <formula>BG5=BE5</formula>
    </cfRule>
  </conditionalFormatting>
  <conditionalFormatting sqref="BJ5:BJ270">
    <cfRule type="cellIs" dxfId="43" priority="1" operator="greaterThan">
      <formula>0</formula>
    </cfRule>
  </conditionalFormatting>
  <conditionalFormatting sqref="BT1:BT3 BT5:BT1048576">
    <cfRule type="cellIs" dxfId="42" priority="92" operator="between">
      <formula>0</formula>
      <formula>0.01</formula>
    </cfRule>
  </conditionalFormatting>
  <conditionalFormatting sqref="BT1:BT3 BT5:BV1048576 BG271:BG1048576 BR271:BR1048576">
    <cfRule type="cellIs" dxfId="41" priority="96" operator="greaterThan">
      <formula>0.01</formula>
    </cfRule>
  </conditionalFormatting>
  <conditionalFormatting sqref="DI5:DI270">
    <cfRule type="cellIs" dxfId="40" priority="103" operator="lessThan">
      <formula>0.1</formula>
    </cfRule>
    <cfRule type="cellIs" dxfId="39" priority="102" operator="greaterThan">
      <formula>0.9</formula>
    </cfRule>
  </conditionalFormatting>
  <conditionalFormatting sqref="DP5:DS270">
    <cfRule type="cellIs" dxfId="38" priority="7" operator="greaterThan">
      <formula>0.01</formula>
    </cfRule>
  </conditionalFormatting>
  <conditionalFormatting sqref="EM5:EM270">
    <cfRule type="containsText" dxfId="37" priority="51" operator="containsText" text="Bom">
      <formula>NOT(ISERROR(SEARCH("Bom",EM5)))</formula>
    </cfRule>
  </conditionalFormatting>
  <conditionalFormatting sqref="EN5:EO270">
    <cfRule type="containsText" dxfId="36" priority="48" operator="containsText" text="Baixo">
      <formula>NOT(ISERROR(SEARCH("Baixo",EN5)))</formula>
    </cfRule>
    <cfRule type="containsText" dxfId="35" priority="49" operator="containsText" text="Moderado">
      <formula>NOT(ISERROR(SEARCH("Moderado",EN5)))</formula>
    </cfRule>
    <cfRule type="containsText" dxfId="34" priority="50" operator="containsText" text="Alto">
      <formula>NOT(ISERROR(SEARCH("Alto",EN5)))</formula>
    </cfRule>
  </conditionalFormatting>
  <conditionalFormatting sqref="EO5:EO270">
    <cfRule type="containsText" dxfId="33" priority="34" operator="containsText" text="Risco elevado">
      <formula>NOT(ISERROR(SEARCH("Risco elevado",EO5)))</formula>
    </cfRule>
    <cfRule type="containsText" dxfId="32" priority="36" operator="containsText" text="Alerta">
      <formula>NOT(ISERROR(SEARCH("Alerta",EO5)))</formula>
    </cfRule>
    <cfRule type="containsText" dxfId="31" priority="37" operator="containsText" text="Saudável">
      <formula>NOT(ISERROR(SEARCH("Saudável",EO5)))</formula>
    </cfRule>
    <cfRule type="containsText" dxfId="30" priority="35" operator="containsText" text="Estável">
      <formula>NOT(ISERROR(SEARCH("Estável",EO5)))</formula>
    </cfRule>
  </conditionalFormatting>
  <conditionalFormatting sqref="EP5:EP270">
    <cfRule type="containsText" dxfId="29" priority="47" operator="containsText" text="Bom">
      <formula>NOT(ISERROR(SEARCH("Bom",EP5)))</formula>
    </cfRule>
    <cfRule type="containsText" dxfId="28" priority="46" operator="containsText" text="Ruim">
      <formula>NOT(ISERROR(SEARCH("Ruim",EP5)))</formula>
    </cfRule>
  </conditionalFormatting>
  <conditionalFormatting sqref="EQ5:EW270">
    <cfRule type="containsText" dxfId="27" priority="61" operator="containsText" text="Supervalorizada">
      <formula>NOT(ISERROR(SEARCH("Supervalorizada",EQ5)))</formula>
    </cfRule>
    <cfRule type="containsText" dxfId="26" priority="62" operator="containsText" text="Atrativa">
      <formula>NOT(ISERROR(SEARCH("Atrativa",EQ5)))</formula>
    </cfRule>
    <cfRule type="containsText" dxfId="25" priority="63" operator="containsText" text="Barata">
      <formula>NOT(ISERROR(SEARCH("Barata",EQ5)))</formula>
    </cfRule>
    <cfRule type="containsText" dxfId="24" priority="65" operator="containsText" text="Subvalorizada">
      <formula>NOT(ISERROR(SEARCH("Subvalorizada",EQ5)))</formula>
    </cfRule>
    <cfRule type="containsText" dxfId="23" priority="64" operator="containsText" text="Muito barata">
      <formula>NOT(ISERROR(SEARCH("Muito barata",EQ5)))</formula>
    </cfRule>
  </conditionalFormatting>
  <conditionalFormatting sqref="ES5:ES270">
    <cfRule type="containsText" dxfId="22" priority="45" operator="containsText" text="Bom retorno">
      <formula>NOT(ISERROR(SEARCH("Bom retorno",ES5)))</formula>
    </cfRule>
    <cfRule type="containsText" dxfId="21" priority="44" operator="containsText" text="Fraco retorno">
      <formula>NOT(ISERROR(SEARCH("Fraco retorno",ES5)))</formula>
    </cfRule>
  </conditionalFormatting>
  <conditionalFormatting sqref="ET5:ET270">
    <cfRule type="containsText" dxfId="20" priority="43" operator="containsText" text="Eficiente">
      <formula>NOT(ISERROR(SEARCH("Eficiente",ET5)))</formula>
    </cfRule>
    <cfRule type="containsText" dxfId="19" priority="42" operator="containsText" text="Ineficiente">
      <formula>NOT(ISERROR(SEARCH("Ineficiente",ET5)))</formula>
    </cfRule>
  </conditionalFormatting>
  <conditionalFormatting sqref="EU5:EU270">
    <cfRule type="containsText" dxfId="18" priority="41" operator="containsText" text="Oper.Eficiente">
      <formula>NOT(ISERROR(SEARCH("Oper.Eficiente",EU5)))</formula>
    </cfRule>
    <cfRule type="containsText" dxfId="17" priority="40" operator="containsText" text="Oper.Ineficiente">
      <formula>NOT(ISERROR(SEARCH("Oper.Ineficiente",EU5)))</formula>
    </cfRule>
  </conditionalFormatting>
  <conditionalFormatting sqref="EV5:EV270">
    <cfRule type="cellIs" dxfId="16" priority="39" operator="greaterThan">
      <formula>0</formula>
    </cfRule>
  </conditionalFormatting>
  <conditionalFormatting sqref="EV8">
    <cfRule type="containsText" dxfId="15" priority="38" operator="containsText" text="Risco elevado">
      <formula>NOT(ISERROR(SEARCH("Risco elevado",EV8)))</formula>
    </cfRule>
  </conditionalFormatting>
  <conditionalFormatting sqref="EW5:EW270">
    <cfRule type="containsText" dxfId="14" priority="58" operator="containsText" text="Barata">
      <formula>NOT(ISERROR(SEARCH("Barata",EW5)))</formula>
    </cfRule>
    <cfRule type="containsText" dxfId="13" priority="59" operator="containsText" text="Muito barata">
      <formula>NOT(ISERROR(SEARCH("Muito barata",EW5)))</formula>
    </cfRule>
    <cfRule type="containsText" dxfId="12" priority="60" operator="containsText" text="Subvalorizada">
      <formula>NOT(ISERROR(SEARCH("Subvalorizada",EW5)))</formula>
    </cfRule>
    <cfRule type="containsText" dxfId="11" priority="57" operator="containsText" text="Atrativa">
      <formula>NOT(ISERROR(SEARCH("Atrativa",EW5)))</formula>
    </cfRule>
    <cfRule type="containsText" dxfId="10" priority="56" operator="containsText" text="Supervalorizada">
      <formula>NOT(ISERROR(SEARCH("Supervalorizada",EW5)))</formula>
    </cfRule>
    <cfRule type="containsText" dxfId="9" priority="55" operator="containsText" text="Negativo">
      <formula>NOT(ISERROR(SEARCH("Negativo",EW5)))</formula>
    </cfRule>
    <cfRule type="containsText" dxfId="8" priority="54" operator="containsText" text="Fraco">
      <formula>NOT(ISERROR(SEARCH("Fraco",EW5)))</formula>
    </cfRule>
    <cfRule type="containsText" dxfId="7" priority="53" operator="containsText" text="Bom">
      <formula>NOT(ISERROR(SEARCH("Bom",EW5)))</formula>
    </cfRule>
    <cfRule type="containsText" dxfId="6" priority="52" operator="containsText" text="Muito Bom">
      <formula>NOT(ISERROR(SEARCH("Muito Bom",EW5)))</formula>
    </cfRule>
  </conditionalFormatting>
  <conditionalFormatting sqref="EY5:EY270">
    <cfRule type="containsText" dxfId="5" priority="70" operator="containsText" text="Ruim">
      <formula>NOT(ISERROR(SEARCH("Ruim",EY5)))</formula>
    </cfRule>
    <cfRule type="containsText" dxfId="4" priority="71" operator="containsText" text="Bom">
      <formula>NOT(ISERROR(SEARCH("Bom",EY5)))</formula>
    </cfRule>
  </conditionalFormatting>
  <conditionalFormatting sqref="EZ5:EZ270">
    <cfRule type="containsText" dxfId="3" priority="66" operator="containsText" text="Baixa">
      <formula>NOT(ISERROR(SEARCH("Baixa",EZ5)))</formula>
    </cfRule>
    <cfRule type="containsText" dxfId="2" priority="67" operator="containsText" text="Moderada">
      <formula>NOT(ISERROR(SEARCH("Moderada",EZ5)))</formula>
    </cfRule>
    <cfRule type="containsText" dxfId="1" priority="68" operator="containsText" text="Alta">
      <formula>NOT(ISERROR(SEARCH("Alta",EZ5)))</formula>
    </cfRule>
    <cfRule type="containsText" dxfId="0" priority="69" operator="containsText" text="Alerta">
      <formula>NOT(ISERROR(SEARCH("Alerta",EZ5)))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B268"/>
  <sheetViews>
    <sheetView tabSelected="1" topLeftCell="A250" zoomScale="60" zoomScaleNormal="60" workbookViewId="0">
      <selection activeCell="R265" sqref="R265"/>
    </sheetView>
  </sheetViews>
  <sheetFormatPr defaultRowHeight="15" x14ac:dyDescent="0.25"/>
  <cols>
    <col min="2" max="2" width="8.140625" bestFit="1" customWidth="1"/>
  </cols>
  <sheetData>
    <row r="1" spans="1:2" x14ac:dyDescent="0.25">
      <c r="A1" t="s">
        <v>486</v>
      </c>
      <c r="B1" s="77"/>
    </row>
    <row r="2" spans="1:2" x14ac:dyDescent="0.25">
      <c r="A2" s="14" t="str">
        <f>Bovespa!BH5</f>
        <v>EQPA7</v>
      </c>
    </row>
    <row r="3" spans="1:2" x14ac:dyDescent="0.25">
      <c r="A3" s="14" t="str">
        <f>Bovespa!BH6</f>
        <v>CGRA4</v>
      </c>
    </row>
    <row r="4" spans="1:2" x14ac:dyDescent="0.25">
      <c r="A4" s="14" t="str">
        <f>Bovespa!BH7</f>
        <v>ISAE4</v>
      </c>
    </row>
    <row r="5" spans="1:2" x14ac:dyDescent="0.25">
      <c r="A5" s="14" t="str">
        <f>Bovespa!BH8</f>
        <v>BEES3</v>
      </c>
    </row>
    <row r="6" spans="1:2" x14ac:dyDescent="0.25">
      <c r="A6" s="14" t="str">
        <f>Bovespa!BH9</f>
        <v>ABEV3</v>
      </c>
    </row>
    <row r="7" spans="1:2" x14ac:dyDescent="0.25">
      <c r="A7" s="14" t="str">
        <f>Bovespa!BH10</f>
        <v>RPMG3</v>
      </c>
    </row>
    <row r="8" spans="1:2" x14ac:dyDescent="0.25">
      <c r="A8" s="14" t="str">
        <f>Bovespa!BH11</f>
        <v>DMVF3</v>
      </c>
    </row>
    <row r="9" spans="1:2" x14ac:dyDescent="0.25">
      <c r="A9" s="14" t="str">
        <f>Bovespa!BH12</f>
        <v>SLCE3</v>
      </c>
    </row>
    <row r="10" spans="1:2" x14ac:dyDescent="0.25">
      <c r="A10" s="14" t="str">
        <f>Bovespa!BH13</f>
        <v>OPCT3</v>
      </c>
    </row>
    <row r="11" spans="1:2" x14ac:dyDescent="0.25">
      <c r="A11" s="14" t="str">
        <f>Bovespa!BH14</f>
        <v>SANB4</v>
      </c>
    </row>
    <row r="12" spans="1:2" x14ac:dyDescent="0.25">
      <c r="A12" s="14" t="str">
        <f>Bovespa!BH15</f>
        <v>WHRL4</v>
      </c>
    </row>
    <row r="13" spans="1:2" x14ac:dyDescent="0.25">
      <c r="A13" s="14" t="str">
        <f>Bovespa!BH16</f>
        <v>TELB4</v>
      </c>
    </row>
    <row r="14" spans="1:2" x14ac:dyDescent="0.25">
      <c r="A14" s="14" t="str">
        <f>Bovespa!BH17</f>
        <v>PETR4</v>
      </c>
    </row>
    <row r="15" spans="1:2" x14ac:dyDescent="0.25">
      <c r="A15" s="14" t="str">
        <f>Bovespa!BH18</f>
        <v>ASAI3</v>
      </c>
    </row>
    <row r="16" spans="1:2" x14ac:dyDescent="0.25">
      <c r="A16" s="14" t="str">
        <f>Bovespa!BH19</f>
        <v>SHUL4</v>
      </c>
    </row>
    <row r="17" spans="1:1" x14ac:dyDescent="0.25">
      <c r="A17" s="14" t="str">
        <f>Bovespa!BH20</f>
        <v>LEVE3</v>
      </c>
    </row>
    <row r="18" spans="1:1" x14ac:dyDescent="0.25">
      <c r="A18" s="14" t="str">
        <f>Bovespa!BH21</f>
        <v>CPLE6</v>
      </c>
    </row>
    <row r="19" spans="1:1" x14ac:dyDescent="0.25">
      <c r="A19" s="14" t="str">
        <f>Bovespa!BH22</f>
        <v>CEBR6</v>
      </c>
    </row>
    <row r="20" spans="1:1" x14ac:dyDescent="0.25">
      <c r="A20" s="14" t="str">
        <f>Bovespa!BH23</f>
        <v>PRNR3</v>
      </c>
    </row>
    <row r="21" spans="1:1" x14ac:dyDescent="0.25">
      <c r="A21" s="14" t="str">
        <f>Bovespa!BH24</f>
        <v>CMIG4</v>
      </c>
    </row>
    <row r="22" spans="1:1" x14ac:dyDescent="0.25">
      <c r="A22" s="14" t="str">
        <f>Bovespa!BH25</f>
        <v>BEES4</v>
      </c>
    </row>
    <row r="23" spans="1:1" x14ac:dyDescent="0.25">
      <c r="A23" s="14" t="str">
        <f>Bovespa!BH26</f>
        <v>POMO3</v>
      </c>
    </row>
    <row r="24" spans="1:1" x14ac:dyDescent="0.25">
      <c r="A24" s="14" t="str">
        <f>Bovespa!BH27</f>
        <v>BMOB3</v>
      </c>
    </row>
    <row r="25" spans="1:1" x14ac:dyDescent="0.25">
      <c r="A25" s="14" t="str">
        <f>Bovespa!BH28</f>
        <v>MTSA4</v>
      </c>
    </row>
    <row r="26" spans="1:1" x14ac:dyDescent="0.25">
      <c r="A26" s="14" t="str">
        <f>Bovespa!BH29</f>
        <v>CAMB3</v>
      </c>
    </row>
    <row r="27" spans="1:1" x14ac:dyDescent="0.25">
      <c r="A27" s="14" t="str">
        <f>Bovespa!BH30</f>
        <v>BRAP3</v>
      </c>
    </row>
    <row r="28" spans="1:1" x14ac:dyDescent="0.25">
      <c r="A28" s="14" t="str">
        <f>Bovespa!BH31</f>
        <v>HAGA4</v>
      </c>
    </row>
    <row r="29" spans="1:1" x14ac:dyDescent="0.25">
      <c r="A29" s="14" t="str">
        <f>Bovespa!BH32</f>
        <v>SANB3</v>
      </c>
    </row>
    <row r="30" spans="1:1" x14ac:dyDescent="0.25">
      <c r="A30" s="14" t="str">
        <f>Bovespa!BH33</f>
        <v>CSUD3</v>
      </c>
    </row>
    <row r="31" spans="1:1" x14ac:dyDescent="0.25">
      <c r="A31" s="14" t="str">
        <f>Bovespa!BH34</f>
        <v>BLAU3</v>
      </c>
    </row>
    <row r="32" spans="1:1" x14ac:dyDescent="0.25">
      <c r="A32" s="14" t="str">
        <f>Bovespa!BH35</f>
        <v>GGBR3</v>
      </c>
    </row>
    <row r="33" spans="1:1" x14ac:dyDescent="0.25">
      <c r="A33" s="14" t="str">
        <f>Bovespa!BH36</f>
        <v>CRFB3</v>
      </c>
    </row>
    <row r="34" spans="1:1" x14ac:dyDescent="0.25">
      <c r="A34" s="14" t="str">
        <f>Bovespa!BH37</f>
        <v>SAPR3</v>
      </c>
    </row>
    <row r="35" spans="1:1" x14ac:dyDescent="0.25">
      <c r="A35" s="14" t="str">
        <f>Bovespa!BH38</f>
        <v>ABCB4</v>
      </c>
    </row>
    <row r="36" spans="1:1" x14ac:dyDescent="0.25">
      <c r="A36" s="14" t="str">
        <f>Bovespa!BH39</f>
        <v>BRSR6</v>
      </c>
    </row>
    <row r="37" spans="1:1" x14ac:dyDescent="0.25">
      <c r="A37" s="14" t="str">
        <f>Bovespa!BH40</f>
        <v>PORT3</v>
      </c>
    </row>
    <row r="38" spans="1:1" x14ac:dyDescent="0.25">
      <c r="A38" s="14" t="str">
        <f>Bovespa!BH41</f>
        <v>PINE4</v>
      </c>
    </row>
    <row r="39" spans="1:1" x14ac:dyDescent="0.25">
      <c r="A39" s="14" t="str">
        <f>Bovespa!BH42</f>
        <v>ITSA3</v>
      </c>
    </row>
    <row r="40" spans="1:1" x14ac:dyDescent="0.25">
      <c r="A40" s="14" t="str">
        <f>Bovespa!BH43</f>
        <v>MEAL3</v>
      </c>
    </row>
    <row r="41" spans="1:1" x14ac:dyDescent="0.25">
      <c r="A41" s="14" t="str">
        <f>Bovespa!BH44</f>
        <v>BBSE3</v>
      </c>
    </row>
    <row r="42" spans="1:1" x14ac:dyDescent="0.25">
      <c r="A42" s="14" t="str">
        <f>Bovespa!BH45</f>
        <v>GOAU3</v>
      </c>
    </row>
    <row r="43" spans="1:1" x14ac:dyDescent="0.25">
      <c r="A43" s="14" t="str">
        <f>Bovespa!BH46</f>
        <v>ITUB4</v>
      </c>
    </row>
    <row r="44" spans="1:1" x14ac:dyDescent="0.25">
      <c r="A44" s="14" t="str">
        <f>Bovespa!BH47</f>
        <v>AGRO3</v>
      </c>
    </row>
    <row r="45" spans="1:1" x14ac:dyDescent="0.25">
      <c r="A45" s="14" t="str">
        <f>Bovespa!BH48</f>
        <v>BMGB4</v>
      </c>
    </row>
    <row r="46" spans="1:1" x14ac:dyDescent="0.25">
      <c r="A46" s="14" t="str">
        <f>Bovespa!BH49</f>
        <v>LAND3</v>
      </c>
    </row>
    <row r="47" spans="1:1" x14ac:dyDescent="0.25">
      <c r="A47" s="14" t="str">
        <f>Bovespa!BH50</f>
        <v>GGBR4</v>
      </c>
    </row>
    <row r="48" spans="1:1" x14ac:dyDescent="0.25">
      <c r="A48" s="14" t="str">
        <f>Bovespa!BH51</f>
        <v>ITSA4</v>
      </c>
    </row>
    <row r="49" spans="1:1" x14ac:dyDescent="0.25">
      <c r="A49" s="14" t="str">
        <f>Bovespa!BH52</f>
        <v>SMFT3</v>
      </c>
    </row>
    <row r="50" spans="1:1" x14ac:dyDescent="0.25">
      <c r="A50" s="14" t="str">
        <f>Bovespa!BH53</f>
        <v>FLRY3</v>
      </c>
    </row>
    <row r="51" spans="1:1" x14ac:dyDescent="0.25">
      <c r="A51" s="14" t="str">
        <f>Bovespa!BH54</f>
        <v>ROMI3</v>
      </c>
    </row>
    <row r="52" spans="1:1" x14ac:dyDescent="0.25">
      <c r="A52" s="14" t="str">
        <f>Bovespa!BH55</f>
        <v>TAEE4</v>
      </c>
    </row>
    <row r="53" spans="1:1" x14ac:dyDescent="0.25">
      <c r="A53" s="14" t="str">
        <f>Bovespa!BH56</f>
        <v>RAIL3</v>
      </c>
    </row>
    <row r="54" spans="1:1" x14ac:dyDescent="0.25">
      <c r="A54" s="14" t="str">
        <f>Bovespa!BH57</f>
        <v>CYRE3</v>
      </c>
    </row>
    <row r="55" spans="1:1" x14ac:dyDescent="0.25">
      <c r="A55" s="14" t="str">
        <f>Bovespa!BH58</f>
        <v>CXSE3</v>
      </c>
    </row>
    <row r="56" spans="1:1" x14ac:dyDescent="0.25">
      <c r="A56" s="14" t="str">
        <f>Bovespa!BH59</f>
        <v>ALLD3</v>
      </c>
    </row>
    <row r="57" spans="1:1" x14ac:dyDescent="0.25">
      <c r="A57" s="14" t="str">
        <f>Bovespa!BH60</f>
        <v>DEXP3</v>
      </c>
    </row>
    <row r="58" spans="1:1" x14ac:dyDescent="0.25">
      <c r="A58" s="14" t="str">
        <f>Bovespa!BH61</f>
        <v>VLID3</v>
      </c>
    </row>
    <row r="59" spans="1:1" x14ac:dyDescent="0.25">
      <c r="A59" s="14" t="str">
        <f>Bovespa!BH62</f>
        <v>HAGA3</v>
      </c>
    </row>
    <row r="60" spans="1:1" x14ac:dyDescent="0.25">
      <c r="A60" s="14" t="str">
        <f>Bovespa!BH63</f>
        <v>BRAV3</v>
      </c>
    </row>
    <row r="61" spans="1:1" x14ac:dyDescent="0.25">
      <c r="A61" s="14" t="str">
        <f>Bovespa!BH64</f>
        <v>MILS3</v>
      </c>
    </row>
    <row r="62" spans="1:1" x14ac:dyDescent="0.25">
      <c r="A62" s="14" t="str">
        <f>Bovespa!BH65</f>
        <v>STBP3</v>
      </c>
    </row>
    <row r="63" spans="1:1" x14ac:dyDescent="0.25">
      <c r="A63" s="14" t="str">
        <f>Bovespa!BH66</f>
        <v>VBBR3</v>
      </c>
    </row>
    <row r="64" spans="1:1" x14ac:dyDescent="0.25">
      <c r="A64" s="14" t="str">
        <f>Bovespa!BH67</f>
        <v>FRAS3</v>
      </c>
    </row>
    <row r="65" spans="1:1" x14ac:dyDescent="0.25">
      <c r="A65" s="14" t="str">
        <f>Bovespa!BH68</f>
        <v>ALUP4</v>
      </c>
    </row>
    <row r="66" spans="1:1" x14ac:dyDescent="0.25">
      <c r="A66" s="14" t="str">
        <f>Bovespa!BH69</f>
        <v>TRIS3</v>
      </c>
    </row>
    <row r="67" spans="1:1" x14ac:dyDescent="0.25">
      <c r="A67" s="14" t="str">
        <f>Bovespa!BH70</f>
        <v>TGMA3</v>
      </c>
    </row>
    <row r="68" spans="1:1" x14ac:dyDescent="0.25">
      <c r="A68" s="14" t="str">
        <f>Bovespa!BH71</f>
        <v>REDE3</v>
      </c>
    </row>
    <row r="69" spans="1:1" x14ac:dyDescent="0.25">
      <c r="A69" s="14" t="str">
        <f>Bovespa!BH72</f>
        <v>RNEW3</v>
      </c>
    </row>
    <row r="70" spans="1:1" x14ac:dyDescent="0.25">
      <c r="A70" s="14" t="str">
        <f>Bovespa!BH73</f>
        <v>CVCB3</v>
      </c>
    </row>
    <row r="71" spans="1:1" x14ac:dyDescent="0.25">
      <c r="A71" s="14" t="str">
        <f>Bovespa!BH74</f>
        <v>ORVR3</v>
      </c>
    </row>
    <row r="72" spans="1:1" x14ac:dyDescent="0.25">
      <c r="A72" s="14" t="str">
        <f>Bovespa!BH75</f>
        <v>IRBR3</v>
      </c>
    </row>
    <row r="73" spans="1:1" x14ac:dyDescent="0.25">
      <c r="A73" s="14" t="str">
        <f>Bovespa!BH76</f>
        <v>EALT4</v>
      </c>
    </row>
    <row r="74" spans="1:1" x14ac:dyDescent="0.25">
      <c r="A74" s="14" t="str">
        <f>Bovespa!BH77</f>
        <v>GRND3</v>
      </c>
    </row>
    <row r="75" spans="1:1" x14ac:dyDescent="0.25">
      <c r="A75" s="14" t="str">
        <f>Bovespa!BH78</f>
        <v>BPAN4</v>
      </c>
    </row>
    <row r="76" spans="1:1" x14ac:dyDescent="0.25">
      <c r="A76" s="14" t="str">
        <f>Bovespa!BH79</f>
        <v>WEGE3</v>
      </c>
    </row>
    <row r="77" spans="1:1" x14ac:dyDescent="0.25">
      <c r="A77" s="14" t="str">
        <f>Bovespa!BH80</f>
        <v>EGIE3</v>
      </c>
    </row>
    <row r="78" spans="1:1" x14ac:dyDescent="0.25">
      <c r="A78" s="14" t="str">
        <f>Bovespa!BH81</f>
        <v>JBSS3</v>
      </c>
    </row>
    <row r="79" spans="1:1" x14ac:dyDescent="0.25">
      <c r="A79" s="14" t="str">
        <f>Bovespa!BH82</f>
        <v>PFRM3</v>
      </c>
    </row>
    <row r="80" spans="1:1" x14ac:dyDescent="0.25">
      <c r="A80" s="14" t="str">
        <f>Bovespa!BH83</f>
        <v>EQTL3</v>
      </c>
    </row>
    <row r="81" spans="1:1" x14ac:dyDescent="0.25">
      <c r="A81" s="14" t="str">
        <f>Bovespa!BH84</f>
        <v>NEOE3</v>
      </c>
    </row>
    <row r="82" spans="1:1" x14ac:dyDescent="0.25">
      <c r="A82" s="14" t="str">
        <f>Bovespa!BH85</f>
        <v>POSI3</v>
      </c>
    </row>
    <row r="83" spans="1:1" x14ac:dyDescent="0.25">
      <c r="A83" s="14" t="str">
        <f>Bovespa!BH86</f>
        <v>WEST3</v>
      </c>
    </row>
    <row r="84" spans="1:1" x14ac:dyDescent="0.25">
      <c r="A84" s="14" t="str">
        <f>Bovespa!BH87</f>
        <v>MDIA3</v>
      </c>
    </row>
    <row r="85" spans="1:1" x14ac:dyDescent="0.25">
      <c r="A85" s="14" t="str">
        <f>Bovespa!BH88</f>
        <v>BBDC4</v>
      </c>
    </row>
    <row r="86" spans="1:1" x14ac:dyDescent="0.25">
      <c r="A86" s="14" t="str">
        <f>Bovespa!BH89</f>
        <v>PSSA3</v>
      </c>
    </row>
    <row r="87" spans="1:1" x14ac:dyDescent="0.25">
      <c r="A87" s="14" t="str">
        <f>Bovespa!BH90</f>
        <v>RNEW4</v>
      </c>
    </row>
    <row r="88" spans="1:1" x14ac:dyDescent="0.25">
      <c r="A88" s="14" t="str">
        <f>Bovespa!BH91</f>
        <v>UNIP6</v>
      </c>
    </row>
    <row r="89" spans="1:1" x14ac:dyDescent="0.25">
      <c r="A89" s="14" t="str">
        <f>Bovespa!BH92</f>
        <v>EZTC3</v>
      </c>
    </row>
    <row r="90" spans="1:1" x14ac:dyDescent="0.25">
      <c r="A90" s="14" t="str">
        <f>Bovespa!BH93</f>
        <v>SUZB3</v>
      </c>
    </row>
    <row r="91" spans="1:1" x14ac:dyDescent="0.25">
      <c r="A91" s="14" t="str">
        <f>Bovespa!BH94</f>
        <v>BMEB4</v>
      </c>
    </row>
    <row r="92" spans="1:1" x14ac:dyDescent="0.25">
      <c r="A92" s="14" t="str">
        <f>Bovespa!BH95</f>
        <v>CPLE3</v>
      </c>
    </row>
    <row r="93" spans="1:1" x14ac:dyDescent="0.25">
      <c r="A93" s="14" t="str">
        <f>Bovespa!BH96</f>
        <v>PETR3</v>
      </c>
    </row>
    <row r="94" spans="1:1" x14ac:dyDescent="0.25">
      <c r="A94" s="14" t="str">
        <f>Bovespa!BH97</f>
        <v>BBDC3</v>
      </c>
    </row>
    <row r="95" spans="1:1" x14ac:dyDescent="0.25">
      <c r="A95" s="14" t="str">
        <f>Bovespa!BH98</f>
        <v>POMO4</v>
      </c>
    </row>
    <row r="96" spans="1:1" x14ac:dyDescent="0.25">
      <c r="A96" s="14" t="str">
        <f>Bovespa!BH99</f>
        <v>VALE3</v>
      </c>
    </row>
    <row r="97" spans="1:1" x14ac:dyDescent="0.25">
      <c r="A97" s="14" t="str">
        <f>Bovespa!BH100</f>
        <v>RADL3</v>
      </c>
    </row>
    <row r="98" spans="1:1" x14ac:dyDescent="0.25">
      <c r="A98" s="14" t="str">
        <f>Bovespa!BH101</f>
        <v>GGPS3</v>
      </c>
    </row>
    <row r="99" spans="1:1" x14ac:dyDescent="0.25">
      <c r="A99" s="14" t="str">
        <f>Bovespa!BH102</f>
        <v>HBSA3</v>
      </c>
    </row>
    <row r="100" spans="1:1" x14ac:dyDescent="0.25">
      <c r="A100" s="14" t="str">
        <f>Bovespa!BH103</f>
        <v>CCRO3</v>
      </c>
    </row>
    <row r="101" spans="1:1" x14ac:dyDescent="0.25">
      <c r="A101" s="14" t="str">
        <f>Bovespa!BH104</f>
        <v>MELK3</v>
      </c>
    </row>
    <row r="102" spans="1:1" x14ac:dyDescent="0.25">
      <c r="A102" s="14" t="str">
        <f>Bovespa!BH105</f>
        <v>CPFE3</v>
      </c>
    </row>
    <row r="103" spans="1:1" x14ac:dyDescent="0.25">
      <c r="A103" s="14" t="str">
        <f>Bovespa!BH106</f>
        <v>SBSP3</v>
      </c>
    </row>
    <row r="104" spans="1:1" x14ac:dyDescent="0.25">
      <c r="A104" s="14" t="str">
        <f>Bovespa!BH107</f>
        <v>SOJA3</v>
      </c>
    </row>
    <row r="105" spans="1:1" x14ac:dyDescent="0.25">
      <c r="A105" s="14" t="str">
        <f>Bovespa!BH108</f>
        <v>PTNT4</v>
      </c>
    </row>
    <row r="106" spans="1:1" x14ac:dyDescent="0.25">
      <c r="A106" s="14" t="str">
        <f>Bovespa!BH109</f>
        <v>DESK3</v>
      </c>
    </row>
    <row r="107" spans="1:1" x14ac:dyDescent="0.25">
      <c r="A107" s="14" t="str">
        <f>Bovespa!BH110</f>
        <v>IGTI3</v>
      </c>
    </row>
    <row r="108" spans="1:1" x14ac:dyDescent="0.25">
      <c r="A108" s="14" t="str">
        <f>Bovespa!BH111</f>
        <v>IGTI3</v>
      </c>
    </row>
    <row r="109" spans="1:1" x14ac:dyDescent="0.25">
      <c r="A109" s="14" t="str">
        <f>Bovespa!BH112</f>
        <v>KEPL3</v>
      </c>
    </row>
    <row r="110" spans="1:1" x14ac:dyDescent="0.25">
      <c r="A110" s="14" t="str">
        <f>Bovespa!BH113</f>
        <v>LREN3</v>
      </c>
    </row>
    <row r="111" spans="1:1" x14ac:dyDescent="0.25">
      <c r="A111" s="14" t="str">
        <f>Bovespa!BH114</f>
        <v>MRFG3</v>
      </c>
    </row>
    <row r="112" spans="1:1" x14ac:dyDescent="0.25">
      <c r="A112" s="14" t="str">
        <f>Bovespa!BH115</f>
        <v>JFEN3</v>
      </c>
    </row>
    <row r="113" spans="1:1" x14ac:dyDescent="0.25">
      <c r="A113" s="14" t="str">
        <f>Bovespa!BH116</f>
        <v>USIM3</v>
      </c>
    </row>
    <row r="114" spans="1:1" x14ac:dyDescent="0.25">
      <c r="A114" s="14" t="str">
        <f>Bovespa!BH117</f>
        <v>CURY3</v>
      </c>
    </row>
    <row r="115" spans="1:1" x14ac:dyDescent="0.25">
      <c r="A115" s="14" t="str">
        <f>Bovespa!BH118</f>
        <v>UGPA3</v>
      </c>
    </row>
    <row r="116" spans="1:1" x14ac:dyDescent="0.25">
      <c r="A116" s="14" t="str">
        <f>Bovespa!BH119</f>
        <v>DXCO3</v>
      </c>
    </row>
    <row r="117" spans="1:1" x14ac:dyDescent="0.25">
      <c r="A117" s="14" t="str">
        <f>Bovespa!BH120</f>
        <v>TEND3</v>
      </c>
    </row>
    <row r="118" spans="1:1" x14ac:dyDescent="0.25">
      <c r="A118" s="14" t="str">
        <f>Bovespa!BH121</f>
        <v>ELET3</v>
      </c>
    </row>
    <row r="119" spans="1:1" x14ac:dyDescent="0.25">
      <c r="A119" s="14" t="str">
        <f>Bovespa!BH122</f>
        <v>WIZC3</v>
      </c>
    </row>
    <row r="120" spans="1:1" x14ac:dyDescent="0.25">
      <c r="A120" s="14" t="str">
        <f>Bovespa!BH123</f>
        <v>SAPR4</v>
      </c>
    </row>
    <row r="121" spans="1:1" x14ac:dyDescent="0.25">
      <c r="A121" s="14" t="str">
        <f>Bovespa!BH124</f>
        <v>NTCO3</v>
      </c>
    </row>
    <row r="122" spans="1:1" x14ac:dyDescent="0.25">
      <c r="A122" s="14" t="str">
        <f>Bovespa!BH125</f>
        <v>EVEN3</v>
      </c>
    </row>
    <row r="123" spans="1:1" x14ac:dyDescent="0.25">
      <c r="A123" s="14" t="str">
        <f>Bovespa!BH126</f>
        <v>ITUB3</v>
      </c>
    </row>
    <row r="124" spans="1:1" x14ac:dyDescent="0.25">
      <c r="A124" s="14" t="str">
        <f>Bovespa!BH127</f>
        <v>UCAS3</v>
      </c>
    </row>
    <row r="125" spans="1:1" x14ac:dyDescent="0.25">
      <c r="A125" s="14" t="str">
        <f>Bovespa!BH128</f>
        <v>USIM5</v>
      </c>
    </row>
    <row r="126" spans="1:1" x14ac:dyDescent="0.25">
      <c r="A126" s="14" t="str">
        <f>Bovespa!BH129</f>
        <v>JALL3</v>
      </c>
    </row>
    <row r="127" spans="1:1" x14ac:dyDescent="0.25">
      <c r="A127" s="14" t="str">
        <f>Bovespa!BH130</f>
        <v>BRAP4</v>
      </c>
    </row>
    <row r="128" spans="1:1" x14ac:dyDescent="0.25">
      <c r="A128" s="14" t="str">
        <f>Bovespa!BH131</f>
        <v>CSMG3</v>
      </c>
    </row>
    <row r="129" spans="1:1" x14ac:dyDescent="0.25">
      <c r="A129" s="14" t="str">
        <f>Bovespa!BH132</f>
        <v>RENT3</v>
      </c>
    </row>
    <row r="130" spans="1:1" x14ac:dyDescent="0.25">
      <c r="A130" s="14" t="str">
        <f>Bovespa!BH133</f>
        <v>RAPT4</v>
      </c>
    </row>
    <row r="131" spans="1:1" x14ac:dyDescent="0.25">
      <c r="A131" s="14" t="str">
        <f>Bovespa!BH134</f>
        <v>RAPT3</v>
      </c>
    </row>
    <row r="132" spans="1:1" x14ac:dyDescent="0.25">
      <c r="A132" s="14" t="str">
        <f>Bovespa!BH135</f>
        <v>MBLY3</v>
      </c>
    </row>
    <row r="133" spans="1:1" x14ac:dyDescent="0.25">
      <c r="A133" s="14" t="str">
        <f>Bovespa!BH136</f>
        <v>GOAU4</v>
      </c>
    </row>
    <row r="134" spans="1:1" x14ac:dyDescent="0.25">
      <c r="A134" s="14" t="str">
        <f>Bovespa!BH137</f>
        <v>DOHL4</v>
      </c>
    </row>
    <row r="135" spans="1:1" x14ac:dyDescent="0.25">
      <c r="A135" s="14" t="str">
        <f>Bovespa!BH138</f>
        <v>BRFS3</v>
      </c>
    </row>
    <row r="136" spans="1:1" x14ac:dyDescent="0.25">
      <c r="A136" s="14" t="str">
        <f>Bovespa!BH139</f>
        <v>INTB3</v>
      </c>
    </row>
    <row r="137" spans="1:1" x14ac:dyDescent="0.25">
      <c r="A137" s="14" t="str">
        <f>Bovespa!BH140</f>
        <v>CBAV3</v>
      </c>
    </row>
    <row r="138" spans="1:1" x14ac:dyDescent="0.25">
      <c r="A138" s="14" t="str">
        <f>Bovespa!BH141</f>
        <v>KLBN3</v>
      </c>
    </row>
    <row r="139" spans="1:1" x14ac:dyDescent="0.25">
      <c r="A139" s="14" t="str">
        <f>Bovespa!BH142</f>
        <v>GMAT3</v>
      </c>
    </row>
    <row r="140" spans="1:1" x14ac:dyDescent="0.25">
      <c r="A140" s="14" t="str">
        <f>Bovespa!BH143</f>
        <v>TIMS3</v>
      </c>
    </row>
    <row r="141" spans="1:1" x14ac:dyDescent="0.25">
      <c r="A141" s="14" t="str">
        <f>Bovespa!BH144</f>
        <v>BPAC3</v>
      </c>
    </row>
    <row r="142" spans="1:1" x14ac:dyDescent="0.25">
      <c r="A142" s="14" t="str">
        <f>Bovespa!BH145</f>
        <v>VIVA3</v>
      </c>
    </row>
    <row r="143" spans="1:1" x14ac:dyDescent="0.25">
      <c r="A143" s="14" t="str">
        <f>Bovespa!BH146</f>
        <v>LOGG3</v>
      </c>
    </row>
    <row r="144" spans="1:1" x14ac:dyDescent="0.25">
      <c r="A144" s="14" t="str">
        <f>Bovespa!BH147</f>
        <v>QUAL3</v>
      </c>
    </row>
    <row r="145" spans="1:1" x14ac:dyDescent="0.25">
      <c r="A145" s="14" t="str">
        <f>Bovespa!BH148</f>
        <v>PNVL3</v>
      </c>
    </row>
    <row r="146" spans="1:1" x14ac:dyDescent="0.25">
      <c r="A146" s="14" t="str">
        <f>Bovespa!BH149</f>
        <v>CLSA3</v>
      </c>
    </row>
    <row r="147" spans="1:1" x14ac:dyDescent="0.25">
      <c r="A147" s="14" t="str">
        <f>Bovespa!BH150</f>
        <v>KLBN4</v>
      </c>
    </row>
    <row r="148" spans="1:1" x14ac:dyDescent="0.25">
      <c r="A148" s="14" t="str">
        <f>Bovespa!BH151</f>
        <v>BPAC5</v>
      </c>
    </row>
    <row r="149" spans="1:1" x14ac:dyDescent="0.25">
      <c r="A149" s="14" t="str">
        <f>Bovespa!BH152</f>
        <v>DIRR3</v>
      </c>
    </row>
    <row r="150" spans="1:1" x14ac:dyDescent="0.25">
      <c r="A150" s="14" t="str">
        <f>Bovespa!BH153</f>
        <v>MYPK3</v>
      </c>
    </row>
    <row r="151" spans="1:1" x14ac:dyDescent="0.25">
      <c r="A151" s="14" t="str">
        <f>Bovespa!BH154</f>
        <v>RDOR3</v>
      </c>
    </row>
    <row r="152" spans="1:1" x14ac:dyDescent="0.25">
      <c r="A152" s="14" t="str">
        <f>Bovespa!BH155</f>
        <v>VIVT3</v>
      </c>
    </row>
    <row r="153" spans="1:1" x14ac:dyDescent="0.25">
      <c r="A153" s="14" t="str">
        <f>Bovespa!BH156</f>
        <v>PGMN3</v>
      </c>
    </row>
    <row r="154" spans="1:1" x14ac:dyDescent="0.25">
      <c r="A154" s="14" t="str">
        <f>Bovespa!BH157</f>
        <v>TFCO4</v>
      </c>
    </row>
    <row r="155" spans="1:1" x14ac:dyDescent="0.25">
      <c r="A155" s="14" t="str">
        <f>Bovespa!BH158</f>
        <v>ENEV3</v>
      </c>
    </row>
    <row r="156" spans="1:1" x14ac:dyDescent="0.25">
      <c r="A156" s="14" t="str">
        <f>Bovespa!BH159</f>
        <v>LIGT3</v>
      </c>
    </row>
    <row r="157" spans="1:1" x14ac:dyDescent="0.25">
      <c r="A157" s="14" t="str">
        <f>Bovespa!BH160</f>
        <v>CSED3</v>
      </c>
    </row>
    <row r="158" spans="1:1" x14ac:dyDescent="0.25">
      <c r="A158" s="14" t="str">
        <f>Bovespa!BH161</f>
        <v>MULT3</v>
      </c>
    </row>
    <row r="159" spans="1:1" x14ac:dyDescent="0.25">
      <c r="A159" s="14" t="str">
        <f>Bovespa!BH162</f>
        <v>AURE3</v>
      </c>
    </row>
    <row r="160" spans="1:1" x14ac:dyDescent="0.25">
      <c r="A160" s="14" t="str">
        <f>Bovespa!BH163</f>
        <v>TUPY3</v>
      </c>
    </row>
    <row r="161" spans="1:1" x14ac:dyDescent="0.25">
      <c r="A161" s="14" t="str">
        <f>Bovespa!BH164</f>
        <v>SCAR3</v>
      </c>
    </row>
    <row r="162" spans="1:1" x14ac:dyDescent="0.25">
      <c r="A162" s="14" t="str">
        <f>Bovespa!BH165</f>
        <v>LWSA3</v>
      </c>
    </row>
    <row r="163" spans="1:1" x14ac:dyDescent="0.25">
      <c r="A163" s="14" t="str">
        <f>Bovespa!BH166</f>
        <v>LPSB3</v>
      </c>
    </row>
    <row r="164" spans="1:1" x14ac:dyDescent="0.25">
      <c r="A164" s="14" t="str">
        <f>Bovespa!BH167</f>
        <v>MTRE3</v>
      </c>
    </row>
    <row r="165" spans="1:1" x14ac:dyDescent="0.25">
      <c r="A165" s="14" t="str">
        <f>Bovespa!BH168</f>
        <v>EMBR3</v>
      </c>
    </row>
    <row r="166" spans="1:1" x14ac:dyDescent="0.25">
      <c r="A166" s="14" t="str">
        <f>Bovespa!BH169</f>
        <v>ENGI4</v>
      </c>
    </row>
    <row r="167" spans="1:1" x14ac:dyDescent="0.25">
      <c r="A167" s="14" t="str">
        <f>Bovespa!BH170</f>
        <v>ANIM3</v>
      </c>
    </row>
    <row r="168" spans="1:1" x14ac:dyDescent="0.25">
      <c r="A168" s="14" t="str">
        <f>Bovespa!BH171</f>
        <v>PRIO3</v>
      </c>
    </row>
    <row r="169" spans="1:1" x14ac:dyDescent="0.25">
      <c r="A169" s="14" t="str">
        <f>Bovespa!BH172</f>
        <v>ODPV3</v>
      </c>
    </row>
    <row r="170" spans="1:1" x14ac:dyDescent="0.25">
      <c r="A170" s="14" t="str">
        <f>Bovespa!BH173</f>
        <v>RECV3</v>
      </c>
    </row>
    <row r="171" spans="1:1" x14ac:dyDescent="0.25">
      <c r="A171" s="14" t="str">
        <f>Bovespa!BH174</f>
        <v>MDNE3</v>
      </c>
    </row>
    <row r="172" spans="1:1" x14ac:dyDescent="0.25">
      <c r="A172" s="14" t="str">
        <f>Bovespa!BH175</f>
        <v>RCSL4</v>
      </c>
    </row>
    <row r="173" spans="1:1" x14ac:dyDescent="0.25">
      <c r="A173" s="14" t="str">
        <f>Bovespa!BH176</f>
        <v>TPIS3</v>
      </c>
    </row>
    <row r="174" spans="1:1" x14ac:dyDescent="0.25">
      <c r="A174" s="14" t="str">
        <f>Bovespa!BH177</f>
        <v>TASA4</v>
      </c>
    </row>
    <row r="175" spans="1:1" x14ac:dyDescent="0.25">
      <c r="A175" s="14" t="str">
        <f>Bovespa!BH178</f>
        <v>SNSY5</v>
      </c>
    </row>
    <row r="176" spans="1:1" x14ac:dyDescent="0.25">
      <c r="A176" s="14" t="str">
        <f>Bovespa!BH179</f>
        <v>LAVV3</v>
      </c>
    </row>
    <row r="177" spans="1:1" x14ac:dyDescent="0.25">
      <c r="A177" s="14" t="str">
        <f>Bovespa!BH180</f>
        <v>ALPA3</v>
      </c>
    </row>
    <row r="178" spans="1:1" x14ac:dyDescent="0.25">
      <c r="A178" s="14" t="str">
        <f>Bovespa!BH181</f>
        <v>LVTC3</v>
      </c>
    </row>
    <row r="179" spans="1:1" x14ac:dyDescent="0.25">
      <c r="A179" s="14" t="str">
        <f>Bovespa!BH182</f>
        <v>BEEF3</v>
      </c>
    </row>
    <row r="180" spans="1:1" x14ac:dyDescent="0.25">
      <c r="A180" s="14" t="str">
        <f>Bovespa!BH183</f>
        <v>ALPA4</v>
      </c>
    </row>
    <row r="181" spans="1:1" x14ac:dyDescent="0.25">
      <c r="A181" s="14" t="str">
        <f>Bovespa!BH184</f>
        <v>MLAS3</v>
      </c>
    </row>
    <row r="182" spans="1:1" x14ac:dyDescent="0.25">
      <c r="A182" s="14" t="str">
        <f>Bovespa!BH185</f>
        <v>EUCA4</v>
      </c>
    </row>
    <row r="183" spans="1:1" x14ac:dyDescent="0.25">
      <c r="A183" s="14" t="str">
        <f>Bovespa!BH186</f>
        <v>B3SA3</v>
      </c>
    </row>
    <row r="184" spans="1:1" x14ac:dyDescent="0.25">
      <c r="A184" s="14" t="str">
        <f>Bovespa!BH187</f>
        <v>KRSA3</v>
      </c>
    </row>
    <row r="185" spans="1:1" x14ac:dyDescent="0.25">
      <c r="A185" s="14" t="str">
        <f>Bovespa!BH188</f>
        <v>BOBR4</v>
      </c>
    </row>
    <row r="186" spans="1:1" x14ac:dyDescent="0.25">
      <c r="A186" s="14" t="str">
        <f>Bovespa!BH189</f>
        <v>ETER3</v>
      </c>
    </row>
    <row r="187" spans="1:1" x14ac:dyDescent="0.25">
      <c r="A187" s="14" t="str">
        <f>Bovespa!BH190</f>
        <v>ESPA3</v>
      </c>
    </row>
    <row r="188" spans="1:1" x14ac:dyDescent="0.25">
      <c r="A188" s="14" t="str">
        <f>Bovespa!BH191</f>
        <v>MATD3</v>
      </c>
    </row>
    <row r="189" spans="1:1" x14ac:dyDescent="0.25">
      <c r="A189" s="14" t="str">
        <f>Bovespa!BH192</f>
        <v>TRAD3</v>
      </c>
    </row>
    <row r="190" spans="1:1" x14ac:dyDescent="0.25">
      <c r="A190" s="14" t="str">
        <f>Bovespa!BH193</f>
        <v>VULC3</v>
      </c>
    </row>
    <row r="191" spans="1:1" x14ac:dyDescent="0.25">
      <c r="A191" s="14" t="str">
        <f>Bovespa!BH194</f>
        <v>LUPA3</v>
      </c>
    </row>
    <row r="192" spans="1:1" x14ac:dyDescent="0.25">
      <c r="A192" s="14" t="str">
        <f>Bovespa!BH195</f>
        <v>ECOR3</v>
      </c>
    </row>
    <row r="193" spans="1:1" x14ac:dyDescent="0.25">
      <c r="A193" s="14" t="str">
        <f>Bovespa!BH196</f>
        <v>PDGR3</v>
      </c>
    </row>
    <row r="194" spans="1:1" x14ac:dyDescent="0.25">
      <c r="A194" s="14" t="str">
        <f>Bovespa!BH197</f>
        <v>COCE5</v>
      </c>
    </row>
    <row r="195" spans="1:1" x14ac:dyDescent="0.25">
      <c r="A195" s="14" t="str">
        <f>Bovespa!BH198</f>
        <v>CEAB3</v>
      </c>
    </row>
    <row r="196" spans="1:1" x14ac:dyDescent="0.25">
      <c r="A196" s="14" t="str">
        <f>Bovespa!BH199</f>
        <v>AMBP3</v>
      </c>
    </row>
    <row r="197" spans="1:1" x14ac:dyDescent="0.25">
      <c r="A197" s="14" t="str">
        <f>Bovespa!BH200</f>
        <v>NGRD3</v>
      </c>
    </row>
    <row r="198" spans="1:1" x14ac:dyDescent="0.25">
      <c r="A198" s="14" t="str">
        <f>Bovespa!BH201</f>
        <v>CAML3</v>
      </c>
    </row>
    <row r="199" spans="1:1" x14ac:dyDescent="0.25">
      <c r="A199" s="14" t="str">
        <f>Bovespa!BH202</f>
        <v>TASA3</v>
      </c>
    </row>
    <row r="200" spans="1:1" x14ac:dyDescent="0.25">
      <c r="A200" s="14" t="str">
        <f>Bovespa!BH203</f>
        <v>SBFG3</v>
      </c>
    </row>
    <row r="201" spans="1:1" x14ac:dyDescent="0.25">
      <c r="A201" s="14" t="str">
        <f>Bovespa!BH204</f>
        <v>TECN3</v>
      </c>
    </row>
    <row r="202" spans="1:1" x14ac:dyDescent="0.25">
      <c r="A202" s="14" t="str">
        <f>Bovespa!BH205</f>
        <v>SMTO3</v>
      </c>
    </row>
    <row r="203" spans="1:1" x14ac:dyDescent="0.25">
      <c r="A203" s="14" t="str">
        <f>Bovespa!BH206</f>
        <v>RANI3</v>
      </c>
    </row>
    <row r="204" spans="1:1" x14ac:dyDescent="0.25">
      <c r="A204" s="14" t="str">
        <f>Bovespa!BH207</f>
        <v>PETZ3</v>
      </c>
    </row>
    <row r="205" spans="1:1" x14ac:dyDescent="0.25">
      <c r="A205" s="14" t="str">
        <f>Bovespa!BH208</f>
        <v>TOTS3</v>
      </c>
    </row>
    <row r="206" spans="1:1" x14ac:dyDescent="0.25">
      <c r="A206" s="14" t="str">
        <f>Bovespa!BH209</f>
        <v>YDUQ3</v>
      </c>
    </row>
    <row r="207" spans="1:1" x14ac:dyDescent="0.25">
      <c r="A207" s="14" t="str">
        <f>Bovespa!BH210</f>
        <v>JSLG3</v>
      </c>
    </row>
    <row r="208" spans="1:1" x14ac:dyDescent="0.25">
      <c r="A208" s="14" t="str">
        <f>Bovespa!BH211</f>
        <v>ONCO3</v>
      </c>
    </row>
    <row r="209" spans="1:1" x14ac:dyDescent="0.25">
      <c r="A209" s="14" t="str">
        <f>Bovespa!BH212</f>
        <v>AALR3</v>
      </c>
    </row>
    <row r="210" spans="1:1" x14ac:dyDescent="0.25">
      <c r="A210" s="14" t="str">
        <f>Bovespa!BH213</f>
        <v>HBOR3</v>
      </c>
    </row>
    <row r="211" spans="1:1" x14ac:dyDescent="0.25">
      <c r="A211" s="14" t="str">
        <f>Bovespa!BH214</f>
        <v>CRPG5</v>
      </c>
    </row>
    <row r="212" spans="1:1" x14ac:dyDescent="0.25">
      <c r="A212" s="14" t="str">
        <f>Bovespa!BH215</f>
        <v>LOGN3</v>
      </c>
    </row>
    <row r="213" spans="1:1" x14ac:dyDescent="0.25">
      <c r="A213" s="14" t="str">
        <f>Bovespa!BH216</f>
        <v>VAMO3</v>
      </c>
    </row>
    <row r="214" spans="1:1" x14ac:dyDescent="0.25">
      <c r="A214" s="14" t="str">
        <f>Bovespa!BH217</f>
        <v>JHSF3</v>
      </c>
    </row>
    <row r="215" spans="1:1" x14ac:dyDescent="0.25">
      <c r="A215" s="14" t="str">
        <f>Bovespa!BH218</f>
        <v>SIMH3</v>
      </c>
    </row>
    <row r="216" spans="1:1" x14ac:dyDescent="0.25">
      <c r="A216" s="14" t="str">
        <f>Bovespa!BH219</f>
        <v>GUAR3</v>
      </c>
    </row>
    <row r="217" spans="1:1" x14ac:dyDescent="0.25">
      <c r="A217" s="14" t="str">
        <f>Bovespa!BH220</f>
        <v>SGPS3</v>
      </c>
    </row>
    <row r="218" spans="1:1" x14ac:dyDescent="0.25">
      <c r="A218" s="14" t="str">
        <f>Bovespa!BH221</f>
        <v>COGN3</v>
      </c>
    </row>
    <row r="219" spans="1:1" x14ac:dyDescent="0.25">
      <c r="A219" s="14" t="str">
        <f>Bovespa!BH222</f>
        <v>OIBR4</v>
      </c>
    </row>
    <row r="220" spans="1:1" x14ac:dyDescent="0.25">
      <c r="A220" s="14" t="str">
        <f>Bovespa!BH223</f>
        <v>VITT3</v>
      </c>
    </row>
    <row r="221" spans="1:1" x14ac:dyDescent="0.25">
      <c r="A221" s="14" t="str">
        <f>Bovespa!BH224</f>
        <v>PTBL3</v>
      </c>
    </row>
    <row r="222" spans="1:1" x14ac:dyDescent="0.25">
      <c r="A222" s="14" t="str">
        <f>Bovespa!BH225</f>
        <v>VVEO3</v>
      </c>
    </row>
    <row r="223" spans="1:1" x14ac:dyDescent="0.25">
      <c r="A223" s="14" t="str">
        <f>Bovespa!BH226</f>
        <v>HBRE3</v>
      </c>
    </row>
    <row r="224" spans="1:1" x14ac:dyDescent="0.25">
      <c r="A224" s="14" t="str">
        <f>Bovespa!BH227</f>
        <v>RDNI3</v>
      </c>
    </row>
    <row r="225" spans="1:1" x14ac:dyDescent="0.25">
      <c r="A225" s="14" t="str">
        <f>Bovespa!BH228</f>
        <v>PCAR3</v>
      </c>
    </row>
    <row r="226" spans="1:1" x14ac:dyDescent="0.25">
      <c r="A226" s="14" t="str">
        <f>Bovespa!BH229</f>
        <v>CASH3</v>
      </c>
    </row>
    <row r="227" spans="1:1" x14ac:dyDescent="0.25">
      <c r="A227" s="14" t="str">
        <f>Bovespa!BH230</f>
        <v>FHER3</v>
      </c>
    </row>
    <row r="228" spans="1:1" x14ac:dyDescent="0.25">
      <c r="A228" s="14" t="str">
        <f>Bovespa!BH231</f>
        <v>GFSA3</v>
      </c>
    </row>
    <row r="229" spans="1:1" x14ac:dyDescent="0.25">
      <c r="A229" s="14" t="str">
        <f>Bovespa!BH232</f>
        <v>HYPE3</v>
      </c>
    </row>
    <row r="230" spans="1:1" x14ac:dyDescent="0.25">
      <c r="A230" s="14" t="str">
        <f>Bovespa!BH233</f>
        <v>ENJU3</v>
      </c>
    </row>
    <row r="231" spans="1:1" x14ac:dyDescent="0.25">
      <c r="A231" s="14" t="str">
        <f>Bovespa!BH234</f>
        <v>RAIZ4</v>
      </c>
    </row>
    <row r="232" spans="1:1" x14ac:dyDescent="0.25">
      <c r="A232" s="14" t="str">
        <f>Bovespa!BH235</f>
        <v>BBAS3</v>
      </c>
    </row>
    <row r="233" spans="1:1" x14ac:dyDescent="0.25">
      <c r="A233" s="14" t="str">
        <f>Bovespa!BH236</f>
        <v>EPAR3</v>
      </c>
    </row>
    <row r="234" spans="1:1" x14ac:dyDescent="0.25">
      <c r="A234" s="14" t="str">
        <f>Bovespa!BH237</f>
        <v>SYNE3</v>
      </c>
    </row>
    <row r="235" spans="1:1" x14ac:dyDescent="0.25">
      <c r="A235" s="14" t="str">
        <f>Bovespa!BH238</f>
        <v>MRVE3</v>
      </c>
    </row>
    <row r="236" spans="1:1" x14ac:dyDescent="0.25">
      <c r="A236" s="14" t="str">
        <f>Bovespa!BH239</f>
        <v>MOVI3</v>
      </c>
    </row>
    <row r="237" spans="1:1" x14ac:dyDescent="0.25">
      <c r="A237" s="14" t="str">
        <f>Bovespa!BH240</f>
        <v>AZEV4</v>
      </c>
    </row>
    <row r="238" spans="1:1" x14ac:dyDescent="0.25">
      <c r="A238" s="14" t="str">
        <f>Bovespa!BH241</f>
        <v>CSNA3</v>
      </c>
    </row>
    <row r="239" spans="1:1" x14ac:dyDescent="0.25">
      <c r="A239" s="14" t="str">
        <f>Bovespa!BH242</f>
        <v>CTNM4</v>
      </c>
    </row>
    <row r="240" spans="1:1" x14ac:dyDescent="0.25">
      <c r="A240" s="14" t="str">
        <f>Bovespa!BH243</f>
        <v>IFCM3</v>
      </c>
    </row>
    <row r="241" spans="1:1" x14ac:dyDescent="0.25">
      <c r="A241" s="14" t="str">
        <f>Bovespa!BH244</f>
        <v>HAPV3</v>
      </c>
    </row>
    <row r="242" spans="1:1" x14ac:dyDescent="0.25">
      <c r="A242" s="14" t="str">
        <f>Bovespa!BH245</f>
        <v>SEQL3</v>
      </c>
    </row>
    <row r="243" spans="1:1" x14ac:dyDescent="0.25">
      <c r="A243" s="14" t="str">
        <f>Bovespa!BH246</f>
        <v>ZAMP3</v>
      </c>
    </row>
    <row r="244" spans="1:1" x14ac:dyDescent="0.25">
      <c r="A244" s="14" t="str">
        <f>Bovespa!BH247</f>
        <v>INEP4</v>
      </c>
    </row>
    <row r="245" spans="1:1" x14ac:dyDescent="0.25">
      <c r="A245" s="14" t="str">
        <f>Bovespa!BH248</f>
        <v>OIBR3</v>
      </c>
    </row>
    <row r="246" spans="1:1" x14ac:dyDescent="0.25">
      <c r="A246" s="14" t="str">
        <f>Bovespa!BH249</f>
        <v>CSAN3</v>
      </c>
    </row>
    <row r="247" spans="1:1" x14ac:dyDescent="0.25">
      <c r="A247" s="14" t="str">
        <f>Bovespa!BH250</f>
        <v>BRKM3</v>
      </c>
    </row>
    <row r="248" spans="1:1" x14ac:dyDescent="0.25">
      <c r="A248" s="14" t="str">
        <f>Bovespa!BH251</f>
        <v>SHOW3</v>
      </c>
    </row>
    <row r="249" spans="1:1" x14ac:dyDescent="0.25">
      <c r="A249" s="14" t="str">
        <f>Bovespa!BH252</f>
        <v>AZEV3</v>
      </c>
    </row>
    <row r="250" spans="1:1" x14ac:dyDescent="0.25">
      <c r="A250" s="14" t="str">
        <f>Bovespa!BH253</f>
        <v>GOLL4</v>
      </c>
    </row>
    <row r="251" spans="1:1" x14ac:dyDescent="0.25">
      <c r="A251" s="14" t="str">
        <f>Bovespa!BH254</f>
        <v>SEER3</v>
      </c>
    </row>
    <row r="252" spans="1:1" x14ac:dyDescent="0.25">
      <c r="A252" s="14" t="str">
        <f>Bovespa!BH255</f>
        <v>FESA4</v>
      </c>
    </row>
    <row r="253" spans="1:1" x14ac:dyDescent="0.25">
      <c r="A253" s="14" t="str">
        <f>Bovespa!BH256</f>
        <v>LJQQ3</v>
      </c>
    </row>
    <row r="254" spans="1:1" x14ac:dyDescent="0.25">
      <c r="A254" s="14" t="str">
        <f>Bovespa!BH257</f>
        <v>VIVR3</v>
      </c>
    </row>
    <row r="255" spans="1:1" x14ac:dyDescent="0.25">
      <c r="A255" s="14" t="str">
        <f>Bovespa!BH258</f>
        <v>DASA3</v>
      </c>
    </row>
    <row r="256" spans="1:1" x14ac:dyDescent="0.25">
      <c r="A256" s="14" t="str">
        <f>Bovespa!BH259</f>
        <v>RSID3</v>
      </c>
    </row>
    <row r="257" spans="1:1" x14ac:dyDescent="0.25">
      <c r="A257" s="14" t="str">
        <f>Bovespa!BH260</f>
        <v>TCSA3</v>
      </c>
    </row>
    <row r="258" spans="1:1" x14ac:dyDescent="0.25">
      <c r="A258" s="14" t="str">
        <f>Bovespa!BH261</f>
        <v>AZUL4</v>
      </c>
    </row>
    <row r="259" spans="1:1" x14ac:dyDescent="0.25">
      <c r="A259" s="14" t="str">
        <f>Bovespa!BH262</f>
        <v>DOTZ3</v>
      </c>
    </row>
    <row r="260" spans="1:1" x14ac:dyDescent="0.25">
      <c r="A260" s="14" t="str">
        <f>Bovespa!BH263</f>
        <v>PMAM3</v>
      </c>
    </row>
    <row r="261" spans="1:1" x14ac:dyDescent="0.25">
      <c r="A261" s="14" t="str">
        <f>Bovespa!BH264</f>
        <v>VSTE3</v>
      </c>
    </row>
    <row r="262" spans="1:1" x14ac:dyDescent="0.25">
      <c r="A262" s="14" t="str">
        <f>Bovespa!BH265</f>
        <v>MGEL4</v>
      </c>
    </row>
    <row r="263" spans="1:1" x14ac:dyDescent="0.25">
      <c r="A263" s="14" t="str">
        <f>Bovespa!BH266</f>
        <v>RCSL3</v>
      </c>
    </row>
    <row r="264" spans="1:1" x14ac:dyDescent="0.25">
      <c r="A264" s="14" t="str">
        <f>Bovespa!BH267</f>
        <v>ARML3</v>
      </c>
    </row>
    <row r="265" spans="1:1" x14ac:dyDescent="0.25">
      <c r="A265" s="14" t="str">
        <f>Bovespa!BH268</f>
        <v>ATMP3</v>
      </c>
    </row>
    <row r="266" spans="1:1" x14ac:dyDescent="0.25">
      <c r="A266" s="14" t="str">
        <f>Bovespa!BH269</f>
        <v>CIEL3</v>
      </c>
    </row>
    <row r="267" spans="1:1" x14ac:dyDescent="0.25">
      <c r="A267" s="14" t="str">
        <f>Bovespa!BH270</f>
        <v>TAEE3</v>
      </c>
    </row>
    <row r="268" spans="1:1" x14ac:dyDescent="0.25">
      <c r="A268" t="s">
        <v>522</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L14" sqref="L14"/>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5" customFormat="1" x14ac:dyDescent="0.25">
      <c r="A1" s="35" t="s">
        <v>289</v>
      </c>
      <c r="B1" s="35" t="s">
        <v>272</v>
      </c>
      <c r="C1" s="35" t="s">
        <v>290</v>
      </c>
      <c r="D1" s="35" t="s">
        <v>291</v>
      </c>
      <c r="E1" s="35" t="s">
        <v>292</v>
      </c>
      <c r="F1" s="35" t="s">
        <v>293</v>
      </c>
      <c r="G1" s="35" t="s">
        <v>294</v>
      </c>
      <c r="H1" s="35" t="s">
        <v>295</v>
      </c>
      <c r="I1" s="35" t="s">
        <v>296</v>
      </c>
      <c r="J1" s="35" t="s">
        <v>297</v>
      </c>
      <c r="K1" s="35" t="s">
        <v>298</v>
      </c>
      <c r="L1" s="35" t="s">
        <v>299</v>
      </c>
      <c r="M1" s="35" t="s">
        <v>300</v>
      </c>
      <c r="N1" s="35" t="s">
        <v>301</v>
      </c>
      <c r="O1" s="35" t="s">
        <v>302</v>
      </c>
      <c r="P1" s="35" t="s">
        <v>303</v>
      </c>
      <c r="Q1" s="35" t="s">
        <v>304</v>
      </c>
      <c r="R1" s="35" t="s">
        <v>305</v>
      </c>
      <c r="S1" s="35" t="s">
        <v>306</v>
      </c>
      <c r="T1" s="35" t="s">
        <v>307</v>
      </c>
      <c r="U1" s="35" t="s">
        <v>308</v>
      </c>
    </row>
    <row r="2" spans="1:21" x14ac:dyDescent="0.25">
      <c r="A2" t="s">
        <v>209</v>
      </c>
      <c r="B2">
        <v>5.66</v>
      </c>
      <c r="C2">
        <v>-12.28</v>
      </c>
      <c r="D2">
        <v>0.8</v>
      </c>
      <c r="E2">
        <v>0.69399999999999995</v>
      </c>
      <c r="F2" s="33">
        <v>0</v>
      </c>
      <c r="G2">
        <v>0.30199999999999999</v>
      </c>
      <c r="H2">
        <v>-68.349999999999994</v>
      </c>
      <c r="I2">
        <v>6.98</v>
      </c>
      <c r="J2">
        <v>-0.85</v>
      </c>
      <c r="K2" s="34">
        <v>11.37</v>
      </c>
      <c r="L2">
        <v>6.07</v>
      </c>
      <c r="M2" s="33">
        <v>9.9400000000000002E-2</v>
      </c>
      <c r="N2" s="33">
        <v>-4.9500000000000002E-2</v>
      </c>
      <c r="O2">
        <v>0.98</v>
      </c>
      <c r="P2" s="33">
        <v>4.7399999999999998E-2</v>
      </c>
      <c r="Q2" s="33">
        <v>-6.5299999999999997E-2</v>
      </c>
      <c r="R2" s="34">
        <v>640666</v>
      </c>
      <c r="S2" s="34">
        <v>1074970000</v>
      </c>
      <c r="T2">
        <v>0.62</v>
      </c>
      <c r="U2" s="33">
        <v>5.3199999999999997E-2</v>
      </c>
    </row>
    <row r="3" spans="1:21" x14ac:dyDescent="0.25">
      <c r="A3" t="s">
        <v>36</v>
      </c>
      <c r="B3">
        <v>21.37</v>
      </c>
      <c r="C3">
        <v>5.37</v>
      </c>
      <c r="D3">
        <v>0.81</v>
      </c>
      <c r="E3">
        <v>0</v>
      </c>
      <c r="F3" s="33">
        <v>7.6999999999999999E-2</v>
      </c>
      <c r="G3">
        <v>0</v>
      </c>
      <c r="H3">
        <v>0</v>
      </c>
      <c r="I3">
        <v>0</v>
      </c>
      <c r="J3">
        <v>0</v>
      </c>
      <c r="K3">
        <v>0</v>
      </c>
      <c r="L3">
        <v>0</v>
      </c>
      <c r="M3" s="33">
        <v>0</v>
      </c>
      <c r="N3" s="33">
        <v>0</v>
      </c>
      <c r="O3">
        <v>0</v>
      </c>
      <c r="P3" s="33">
        <v>0</v>
      </c>
      <c r="Q3" s="33">
        <v>0.15049999999999999</v>
      </c>
      <c r="R3" s="34">
        <v>10372200</v>
      </c>
      <c r="S3" s="34">
        <v>6472310000</v>
      </c>
      <c r="T3">
        <v>0</v>
      </c>
      <c r="U3" s="33">
        <v>0.30580000000000002</v>
      </c>
    </row>
    <row r="4" spans="1:21" x14ac:dyDescent="0.25">
      <c r="A4" t="s">
        <v>7</v>
      </c>
      <c r="B4">
        <v>13.87</v>
      </c>
      <c r="C4">
        <v>15.15</v>
      </c>
      <c r="D4">
        <v>2.31</v>
      </c>
      <c r="E4">
        <v>2.3849999999999998</v>
      </c>
      <c r="F4" s="33">
        <v>6.6500000000000004E-2</v>
      </c>
      <c r="G4">
        <v>1.484</v>
      </c>
      <c r="H4">
        <v>51.96</v>
      </c>
      <c r="I4">
        <v>10.79</v>
      </c>
      <c r="J4">
        <v>-26.43</v>
      </c>
      <c r="K4">
        <v>9.9499999999999993</v>
      </c>
      <c r="L4">
        <v>7.45</v>
      </c>
      <c r="M4" s="33">
        <v>0.22090000000000001</v>
      </c>
      <c r="N4" s="33">
        <v>0.16200000000000001</v>
      </c>
      <c r="O4">
        <v>1.1100000000000001</v>
      </c>
      <c r="P4" s="33">
        <v>0.19189999999999999</v>
      </c>
      <c r="Q4" s="33">
        <v>0.1527</v>
      </c>
      <c r="R4" s="34">
        <v>399298000</v>
      </c>
      <c r="S4" s="34">
        <v>94528300000</v>
      </c>
      <c r="T4">
        <v>0.03</v>
      </c>
      <c r="U4" s="33">
        <v>8.6699999999999999E-2</v>
      </c>
    </row>
    <row r="5" spans="1:21" x14ac:dyDescent="0.25">
      <c r="A5" t="s">
        <v>309</v>
      </c>
      <c r="B5">
        <v>1.56</v>
      </c>
      <c r="C5">
        <v>-4.09</v>
      </c>
      <c r="D5">
        <v>-1.29</v>
      </c>
      <c r="E5">
        <v>770.92399999999998</v>
      </c>
      <c r="F5" s="33">
        <v>0</v>
      </c>
      <c r="G5">
        <v>105.126</v>
      </c>
      <c r="H5">
        <v>-1.43</v>
      </c>
      <c r="I5">
        <v>-5.69</v>
      </c>
      <c r="J5">
        <v>-1.27</v>
      </c>
      <c r="K5">
        <v>-5.69</v>
      </c>
      <c r="L5">
        <v>-5.81</v>
      </c>
      <c r="M5" s="33">
        <v>-135.48500000000001</v>
      </c>
      <c r="N5" s="33">
        <v>-188.60599999999999</v>
      </c>
      <c r="O5">
        <v>0</v>
      </c>
      <c r="P5" s="33">
        <v>5.2169999999999996</v>
      </c>
      <c r="Q5" s="33">
        <v>0.31469999999999998</v>
      </c>
      <c r="R5" s="34">
        <v>2064</v>
      </c>
      <c r="S5" s="34">
        <v>-19776000</v>
      </c>
      <c r="T5">
        <v>0</v>
      </c>
      <c r="U5" s="33">
        <v>0.43480000000000002</v>
      </c>
    </row>
    <row r="6" spans="1:21" x14ac:dyDescent="0.25">
      <c r="A6" t="s">
        <v>310</v>
      </c>
      <c r="B6">
        <v>3.92</v>
      </c>
      <c r="C6">
        <v>-0.25</v>
      </c>
      <c r="D6">
        <v>2.19</v>
      </c>
      <c r="E6">
        <v>0.20100000000000001</v>
      </c>
      <c r="F6" s="33">
        <v>0</v>
      </c>
      <c r="G6">
        <v>0.11600000000000001</v>
      </c>
      <c r="H6">
        <v>-27.65</v>
      </c>
      <c r="I6">
        <v>-0.34</v>
      </c>
      <c r="J6">
        <v>-0.21</v>
      </c>
      <c r="K6">
        <v>-2.44</v>
      </c>
      <c r="L6">
        <v>-2.86</v>
      </c>
      <c r="M6" s="33">
        <v>-0.59119999999999995</v>
      </c>
      <c r="N6" s="33">
        <v>-0.81510000000000005</v>
      </c>
      <c r="O6">
        <v>0.99</v>
      </c>
      <c r="P6" s="33">
        <v>-0.37409999999999999</v>
      </c>
      <c r="Q6" s="33">
        <v>-8.8948</v>
      </c>
      <c r="R6" s="34">
        <v>1559270</v>
      </c>
      <c r="S6" s="34">
        <v>111006000</v>
      </c>
      <c r="T6">
        <v>14.59</v>
      </c>
      <c r="U6" s="33">
        <v>-0.18770000000000001</v>
      </c>
    </row>
    <row r="7" spans="1:21" x14ac:dyDescent="0.25">
      <c r="A7" t="s">
        <v>311</v>
      </c>
      <c r="B7">
        <v>7.35</v>
      </c>
      <c r="C7">
        <v>15.14</v>
      </c>
      <c r="D7">
        <v>1.8</v>
      </c>
      <c r="E7">
        <v>5.6920000000000002</v>
      </c>
      <c r="F7" s="33">
        <v>7.3400000000000007E-2</v>
      </c>
      <c r="G7">
        <v>1.341</v>
      </c>
      <c r="H7">
        <v>7.6</v>
      </c>
      <c r="I7">
        <v>11.86</v>
      </c>
      <c r="J7">
        <v>-41.42</v>
      </c>
      <c r="K7">
        <v>12.25</v>
      </c>
      <c r="L7">
        <v>12.19</v>
      </c>
      <c r="M7" s="33">
        <v>0.47989999999999999</v>
      </c>
      <c r="N7" s="33">
        <v>0.37609999999999999</v>
      </c>
      <c r="O7">
        <v>4.76</v>
      </c>
      <c r="P7" s="33">
        <v>0.1193</v>
      </c>
      <c r="Q7" s="33">
        <v>0.1191</v>
      </c>
      <c r="R7" s="34">
        <v>1912.61</v>
      </c>
      <c r="S7" s="34">
        <v>257167000</v>
      </c>
      <c r="T7">
        <v>0.11</v>
      </c>
      <c r="U7" s="33">
        <v>9.4200000000000006E-2</v>
      </c>
    </row>
    <row r="8" spans="1:21" x14ac:dyDescent="0.25">
      <c r="A8" t="s">
        <v>45</v>
      </c>
      <c r="B8">
        <v>21.23</v>
      </c>
      <c r="C8">
        <v>7.04</v>
      </c>
      <c r="D8">
        <v>1</v>
      </c>
      <c r="E8">
        <v>1.609</v>
      </c>
      <c r="F8" s="33">
        <v>7.3300000000000004E-2</v>
      </c>
      <c r="G8">
        <v>0.54900000000000004</v>
      </c>
      <c r="H8">
        <v>4.71</v>
      </c>
      <c r="I8">
        <v>5.37</v>
      </c>
      <c r="J8">
        <v>-3.98</v>
      </c>
      <c r="K8">
        <v>8.4700000000000006</v>
      </c>
      <c r="L8">
        <v>7.07</v>
      </c>
      <c r="M8" s="33">
        <v>0.29959999999999998</v>
      </c>
      <c r="N8" s="33">
        <v>0.22850000000000001</v>
      </c>
      <c r="O8">
        <v>1.58</v>
      </c>
      <c r="P8" s="33">
        <v>0.1113</v>
      </c>
      <c r="Q8" s="33">
        <v>0.14269999999999999</v>
      </c>
      <c r="R8" s="34">
        <v>3994650</v>
      </c>
      <c r="S8" s="34">
        <v>2169900000</v>
      </c>
      <c r="T8">
        <v>0.62</v>
      </c>
      <c r="U8" s="33">
        <v>-4.7000000000000002E-3</v>
      </c>
    </row>
    <row r="9" spans="1:21" x14ac:dyDescent="0.25">
      <c r="A9" t="s">
        <v>312</v>
      </c>
      <c r="B9">
        <v>6.23</v>
      </c>
      <c r="C9">
        <v>-0.04</v>
      </c>
      <c r="D9">
        <v>-0.06</v>
      </c>
      <c r="E9">
        <v>2.3E-2</v>
      </c>
      <c r="F9" s="33">
        <v>0</v>
      </c>
      <c r="G9">
        <v>2.9000000000000001E-2</v>
      </c>
      <c r="H9">
        <v>-0.03</v>
      </c>
      <c r="I9">
        <v>-0.06</v>
      </c>
      <c r="J9">
        <v>-0.03</v>
      </c>
      <c r="K9">
        <v>-0.71</v>
      </c>
      <c r="L9">
        <v>-0.79</v>
      </c>
      <c r="M9" s="33">
        <v>-0.35680000000000001</v>
      </c>
      <c r="N9" s="33">
        <v>-0.65480000000000005</v>
      </c>
      <c r="O9">
        <v>0.35</v>
      </c>
      <c r="P9" s="33">
        <v>-1.8566</v>
      </c>
      <c r="Q9" s="33">
        <v>1.7169000000000001</v>
      </c>
      <c r="R9" s="34">
        <v>285729</v>
      </c>
      <c r="S9" s="34">
        <v>-1745040000</v>
      </c>
      <c r="T9">
        <v>-0.88</v>
      </c>
      <c r="U9" s="33">
        <v>0.15939999999999999</v>
      </c>
    </row>
    <row r="10" spans="1:21" x14ac:dyDescent="0.25">
      <c r="A10" t="s">
        <v>313</v>
      </c>
      <c r="B10">
        <v>45</v>
      </c>
      <c r="C10">
        <v>3.34</v>
      </c>
      <c r="D10">
        <v>1.58</v>
      </c>
      <c r="E10">
        <v>0.55600000000000005</v>
      </c>
      <c r="F10" s="33">
        <v>0</v>
      </c>
      <c r="G10">
        <v>0.69499999999999995</v>
      </c>
      <c r="H10">
        <v>2.19</v>
      </c>
      <c r="I10">
        <v>4.91</v>
      </c>
      <c r="J10">
        <v>-6.6</v>
      </c>
      <c r="K10">
        <v>4.25</v>
      </c>
      <c r="L10">
        <v>3.92</v>
      </c>
      <c r="M10" s="33">
        <v>0.1132</v>
      </c>
      <c r="N10" s="33">
        <v>0.16639999999999999</v>
      </c>
      <c r="O10">
        <v>3.3</v>
      </c>
      <c r="P10" s="33">
        <v>0.17219999999999999</v>
      </c>
      <c r="Q10" s="33">
        <v>0.47449999999999998</v>
      </c>
      <c r="R10" s="34">
        <v>1317.07</v>
      </c>
      <c r="S10" s="34">
        <v>242674000</v>
      </c>
      <c r="T10">
        <v>0.02</v>
      </c>
      <c r="U10" s="33">
        <v>0.46410000000000001</v>
      </c>
    </row>
    <row r="11" spans="1:21" x14ac:dyDescent="0.25">
      <c r="A11" t="s">
        <v>314</v>
      </c>
      <c r="B11">
        <v>50</v>
      </c>
      <c r="C11">
        <v>3.71</v>
      </c>
      <c r="D11">
        <v>1.76</v>
      </c>
      <c r="E11">
        <v>0.61699999999999999</v>
      </c>
      <c r="F11" s="33">
        <v>0</v>
      </c>
      <c r="G11">
        <v>0.77300000000000002</v>
      </c>
      <c r="H11">
        <v>2.4300000000000002</v>
      </c>
      <c r="I11">
        <v>5.45</v>
      </c>
      <c r="J11">
        <v>-7.34</v>
      </c>
      <c r="K11">
        <v>4.79</v>
      </c>
      <c r="L11">
        <v>4.42</v>
      </c>
      <c r="M11" s="33">
        <v>0.1132</v>
      </c>
      <c r="N11" s="33">
        <v>0.16639999999999999</v>
      </c>
      <c r="O11">
        <v>3.3</v>
      </c>
      <c r="P11" s="33">
        <v>0.17219999999999999</v>
      </c>
      <c r="Q11" s="33">
        <v>0.47449999999999998</v>
      </c>
      <c r="R11" s="34">
        <v>731.71</v>
      </c>
      <c r="S11" s="34">
        <v>242674000</v>
      </c>
      <c r="T11">
        <v>0.02</v>
      </c>
      <c r="U11" s="33">
        <v>0.46410000000000001</v>
      </c>
    </row>
    <row r="12" spans="1:21" x14ac:dyDescent="0.25">
      <c r="A12" t="s">
        <v>315</v>
      </c>
      <c r="B12">
        <v>55</v>
      </c>
      <c r="C12">
        <v>4.08</v>
      </c>
      <c r="D12">
        <v>1.94</v>
      </c>
      <c r="E12">
        <v>0.67900000000000005</v>
      </c>
      <c r="F12" s="33">
        <v>0</v>
      </c>
      <c r="G12">
        <v>0.85</v>
      </c>
      <c r="H12">
        <v>2.68</v>
      </c>
      <c r="I12">
        <v>6</v>
      </c>
      <c r="J12">
        <v>-8.07</v>
      </c>
      <c r="K12">
        <v>5.34</v>
      </c>
      <c r="L12">
        <v>4.92</v>
      </c>
      <c r="M12" s="33">
        <v>0.1132</v>
      </c>
      <c r="N12" s="33">
        <v>0.16639999999999999</v>
      </c>
      <c r="O12">
        <v>3.3</v>
      </c>
      <c r="P12" s="33">
        <v>0.17219999999999999</v>
      </c>
      <c r="Q12" s="33">
        <v>0.47449999999999998</v>
      </c>
      <c r="R12" s="34">
        <v>268.29000000000002</v>
      </c>
      <c r="S12" s="34">
        <v>242674000</v>
      </c>
      <c r="T12">
        <v>0.02</v>
      </c>
      <c r="U12" s="33">
        <v>0.46410000000000001</v>
      </c>
    </row>
    <row r="13" spans="1:21" x14ac:dyDescent="0.25">
      <c r="A13" t="s">
        <v>57</v>
      </c>
      <c r="B13">
        <v>7.1</v>
      </c>
      <c r="C13">
        <v>6.07</v>
      </c>
      <c r="D13">
        <v>0.42</v>
      </c>
      <c r="E13">
        <v>0.126</v>
      </c>
      <c r="F13" s="33">
        <v>0.18160000000000001</v>
      </c>
      <c r="G13">
        <v>0.19500000000000001</v>
      </c>
      <c r="H13">
        <v>0.6</v>
      </c>
      <c r="I13">
        <v>5.53</v>
      </c>
      <c r="J13">
        <v>1.1200000000000001</v>
      </c>
      <c r="K13">
        <v>6.65</v>
      </c>
      <c r="L13">
        <v>4.6500000000000004</v>
      </c>
      <c r="M13" s="33">
        <v>2.29E-2</v>
      </c>
      <c r="N13" s="33">
        <v>2.0799999999999999E-2</v>
      </c>
      <c r="O13">
        <v>1.86</v>
      </c>
      <c r="P13" s="33">
        <v>6.13E-2</v>
      </c>
      <c r="Q13" s="33">
        <v>6.9000000000000006E-2</v>
      </c>
      <c r="R13" s="34">
        <v>463594</v>
      </c>
      <c r="S13" s="34">
        <v>1601680000</v>
      </c>
      <c r="T13">
        <v>0.3</v>
      </c>
      <c r="U13" s="33">
        <v>9.9000000000000008E-3</v>
      </c>
    </row>
    <row r="14" spans="1:21" x14ac:dyDescent="0.25">
      <c r="A14" t="s">
        <v>316</v>
      </c>
      <c r="B14">
        <v>21.95</v>
      </c>
      <c r="C14">
        <v>13.82</v>
      </c>
      <c r="D14">
        <v>0.89</v>
      </c>
      <c r="E14">
        <v>4.3410000000000002</v>
      </c>
      <c r="F14" s="33">
        <v>4.0599999999999997E-2</v>
      </c>
      <c r="G14">
        <v>0.44800000000000001</v>
      </c>
      <c r="H14">
        <v>4.63</v>
      </c>
      <c r="I14">
        <v>8.98</v>
      </c>
      <c r="J14">
        <v>-1.41</v>
      </c>
      <c r="K14">
        <v>6.66</v>
      </c>
      <c r="L14">
        <v>4.5599999999999996</v>
      </c>
      <c r="M14" s="33">
        <v>0.48359999999999997</v>
      </c>
      <c r="N14" s="33">
        <v>0.35070000000000001</v>
      </c>
      <c r="O14">
        <v>2.87</v>
      </c>
      <c r="P14" s="33">
        <v>5.6599999999999998E-2</v>
      </c>
      <c r="Q14" s="33">
        <v>6.4199999999999993E-2</v>
      </c>
      <c r="R14" s="34">
        <v>76491700</v>
      </c>
      <c r="S14" s="34">
        <v>13432600000</v>
      </c>
      <c r="T14">
        <v>0</v>
      </c>
      <c r="U14" s="33">
        <v>0.42659999999999998</v>
      </c>
    </row>
    <row r="15" spans="1:21" x14ac:dyDescent="0.25">
      <c r="A15" t="s">
        <v>177</v>
      </c>
      <c r="B15">
        <v>8.68</v>
      </c>
      <c r="C15">
        <v>30.32</v>
      </c>
      <c r="D15">
        <v>1.46</v>
      </c>
      <c r="E15">
        <v>1.389</v>
      </c>
      <c r="F15" s="33">
        <v>1.11E-2</v>
      </c>
      <c r="G15">
        <v>0.92900000000000005</v>
      </c>
      <c r="H15">
        <v>3.52</v>
      </c>
      <c r="I15">
        <v>20.22</v>
      </c>
      <c r="J15">
        <v>7.44</v>
      </c>
      <c r="K15">
        <v>19.52</v>
      </c>
      <c r="L15">
        <v>10.47</v>
      </c>
      <c r="M15" s="33">
        <v>6.8699999999999997E-2</v>
      </c>
      <c r="N15" s="33">
        <v>4.5699999999999998E-2</v>
      </c>
      <c r="O15">
        <v>2.17</v>
      </c>
      <c r="P15" s="33">
        <v>6.0600000000000001E-2</v>
      </c>
      <c r="Q15" s="33">
        <v>4.8300000000000003E-2</v>
      </c>
      <c r="R15" s="34">
        <v>76215.7</v>
      </c>
      <c r="S15" s="34">
        <v>4051630000</v>
      </c>
      <c r="T15">
        <v>0.22</v>
      </c>
      <c r="U15" s="33">
        <v>3.3799999999999997E-2</v>
      </c>
    </row>
    <row r="16" spans="1:21" x14ac:dyDescent="0.25">
      <c r="A16" t="s">
        <v>67</v>
      </c>
      <c r="B16">
        <v>9.0500000000000007</v>
      </c>
      <c r="C16">
        <v>31.62</v>
      </c>
      <c r="D16">
        <v>1.53</v>
      </c>
      <c r="E16">
        <v>1.448</v>
      </c>
      <c r="F16" s="33">
        <v>1.18E-2</v>
      </c>
      <c r="G16">
        <v>0.96899999999999997</v>
      </c>
      <c r="H16">
        <v>3.67</v>
      </c>
      <c r="I16">
        <v>21.09</v>
      </c>
      <c r="J16">
        <v>7.76</v>
      </c>
      <c r="K16">
        <v>20.38</v>
      </c>
      <c r="L16">
        <v>10.93</v>
      </c>
      <c r="M16" s="33">
        <v>6.8699999999999997E-2</v>
      </c>
      <c r="N16" s="33">
        <v>4.5699999999999998E-2</v>
      </c>
      <c r="O16">
        <v>2.17</v>
      </c>
      <c r="P16" s="33">
        <v>6.0600000000000001E-2</v>
      </c>
      <c r="Q16" s="33">
        <v>4.8300000000000003E-2</v>
      </c>
      <c r="R16" s="34">
        <v>21119300</v>
      </c>
      <c r="S16" s="34">
        <v>4051630000</v>
      </c>
      <c r="T16">
        <v>0.22</v>
      </c>
      <c r="U16" s="33">
        <v>3.3799999999999997E-2</v>
      </c>
    </row>
    <row r="17" spans="1:21" x14ac:dyDescent="0.25">
      <c r="A17" t="s">
        <v>317</v>
      </c>
      <c r="B17">
        <v>3.38</v>
      </c>
      <c r="C17">
        <v>-159.85</v>
      </c>
      <c r="D17">
        <v>2.12</v>
      </c>
      <c r="E17">
        <v>0.44700000000000001</v>
      </c>
      <c r="F17" s="33">
        <v>0</v>
      </c>
      <c r="G17">
        <v>0.29899999999999999</v>
      </c>
      <c r="H17">
        <v>-2.5499999999999998</v>
      </c>
      <c r="I17">
        <v>1.82</v>
      </c>
      <c r="J17">
        <v>-0.43</v>
      </c>
      <c r="K17">
        <v>4.95</v>
      </c>
      <c r="L17">
        <v>3.08</v>
      </c>
      <c r="M17" s="33">
        <v>0.24579999999999999</v>
      </c>
      <c r="N17" s="33">
        <v>2E-3</v>
      </c>
      <c r="O17">
        <v>0.57999999999999996</v>
      </c>
      <c r="P17" s="33">
        <v>0.18340000000000001</v>
      </c>
      <c r="Q17" s="33">
        <v>-1.3299999999999999E-2</v>
      </c>
      <c r="R17" s="34">
        <v>360027</v>
      </c>
      <c r="S17" s="34">
        <v>346060000</v>
      </c>
      <c r="T17">
        <v>4.1399999999999997</v>
      </c>
      <c r="U17" s="33">
        <v>0.29049999999999998</v>
      </c>
    </row>
    <row r="18" spans="1:21" x14ac:dyDescent="0.25">
      <c r="A18" t="s">
        <v>318</v>
      </c>
      <c r="B18">
        <v>30.59</v>
      </c>
      <c r="C18">
        <v>8.92</v>
      </c>
      <c r="D18">
        <v>1.18</v>
      </c>
      <c r="E18">
        <v>2.3839999999999999</v>
      </c>
      <c r="F18" s="33">
        <v>2.7300000000000001E-2</v>
      </c>
      <c r="G18">
        <v>0.32300000000000001</v>
      </c>
      <c r="H18">
        <v>2.94</v>
      </c>
      <c r="I18">
        <v>3.57</v>
      </c>
      <c r="J18">
        <v>-0.8</v>
      </c>
      <c r="K18">
        <v>6.73</v>
      </c>
      <c r="L18">
        <v>6.34</v>
      </c>
      <c r="M18" s="33">
        <v>0.66830000000000001</v>
      </c>
      <c r="N18" s="33">
        <v>0.45929999999999999</v>
      </c>
      <c r="O18">
        <v>2.15</v>
      </c>
      <c r="P18" s="33">
        <v>0.1036</v>
      </c>
      <c r="Q18" s="33">
        <v>0.1326</v>
      </c>
      <c r="R18" s="34">
        <v>27587300</v>
      </c>
      <c r="S18" s="34">
        <v>8518980000</v>
      </c>
      <c r="T18">
        <v>1.48</v>
      </c>
      <c r="U18" s="33">
        <v>-0.1187</v>
      </c>
    </row>
    <row r="19" spans="1:21" x14ac:dyDescent="0.25">
      <c r="A19" t="s">
        <v>319</v>
      </c>
      <c r="B19">
        <v>10.72</v>
      </c>
      <c r="C19">
        <v>9.3800000000000008</v>
      </c>
      <c r="D19">
        <v>1.24</v>
      </c>
      <c r="E19">
        <v>2.5070000000000001</v>
      </c>
      <c r="F19" s="33">
        <v>2.5999999999999999E-2</v>
      </c>
      <c r="G19">
        <v>0.34</v>
      </c>
      <c r="H19">
        <v>3.09</v>
      </c>
      <c r="I19">
        <v>3.75</v>
      </c>
      <c r="J19">
        <v>-0.84</v>
      </c>
      <c r="K19">
        <v>6.92</v>
      </c>
      <c r="L19">
        <v>6.51</v>
      </c>
      <c r="M19" s="33">
        <v>0.66830000000000001</v>
      </c>
      <c r="N19" s="33">
        <v>0.45929999999999999</v>
      </c>
      <c r="O19">
        <v>2.15</v>
      </c>
      <c r="P19" s="33">
        <v>0.1036</v>
      </c>
      <c r="Q19" s="33">
        <v>0.1326</v>
      </c>
      <c r="R19" s="34">
        <v>98523.199999999997</v>
      </c>
      <c r="S19" s="34">
        <v>8518980000</v>
      </c>
      <c r="T19">
        <v>1.48</v>
      </c>
      <c r="U19" s="33">
        <v>-0.1187</v>
      </c>
    </row>
    <row r="20" spans="1:21" x14ac:dyDescent="0.25">
      <c r="A20" t="s">
        <v>66</v>
      </c>
      <c r="B20">
        <v>9.82</v>
      </c>
      <c r="C20">
        <v>8.59</v>
      </c>
      <c r="D20">
        <v>1.1399999999999999</v>
      </c>
      <c r="E20">
        <v>2.2959999999999998</v>
      </c>
      <c r="F20" s="33">
        <v>2.8400000000000002E-2</v>
      </c>
      <c r="G20">
        <v>0.312</v>
      </c>
      <c r="H20">
        <v>2.83</v>
      </c>
      <c r="I20">
        <v>3.44</v>
      </c>
      <c r="J20">
        <v>-0.77</v>
      </c>
      <c r="K20">
        <v>6.6</v>
      </c>
      <c r="L20">
        <v>6.21</v>
      </c>
      <c r="M20" s="33">
        <v>0.66830000000000001</v>
      </c>
      <c r="N20" s="33">
        <v>0.45929999999999999</v>
      </c>
      <c r="O20">
        <v>2.15</v>
      </c>
      <c r="P20" s="33">
        <v>0.1036</v>
      </c>
      <c r="Q20" s="33">
        <v>0.1326</v>
      </c>
      <c r="R20" s="34">
        <v>166226</v>
      </c>
      <c r="S20" s="34">
        <v>8518980000</v>
      </c>
      <c r="T20">
        <v>1.48</v>
      </c>
      <c r="U20" s="33">
        <v>-0.1187</v>
      </c>
    </row>
    <row r="21" spans="1:21" x14ac:dyDescent="0.25">
      <c r="A21" t="s">
        <v>320</v>
      </c>
      <c r="B21">
        <v>1.45</v>
      </c>
      <c r="C21">
        <v>-4.51</v>
      </c>
      <c r="D21">
        <v>2.59</v>
      </c>
      <c r="E21">
        <v>0.51800000000000002</v>
      </c>
      <c r="F21" s="33">
        <v>0</v>
      </c>
      <c r="G21">
        <v>0.36399999999999999</v>
      </c>
      <c r="H21">
        <v>-1.99</v>
      </c>
      <c r="I21">
        <v>7.28</v>
      </c>
      <c r="J21">
        <v>-0.63</v>
      </c>
      <c r="K21">
        <v>13.49</v>
      </c>
      <c r="L21">
        <v>5.0999999999999996</v>
      </c>
      <c r="M21" s="33">
        <v>7.1199999999999999E-2</v>
      </c>
      <c r="N21" s="33">
        <v>-0.1149</v>
      </c>
      <c r="O21">
        <v>0.6</v>
      </c>
      <c r="P21" s="33">
        <v>6.3100000000000003E-2</v>
      </c>
      <c r="Q21" s="33">
        <v>-0.57469999999999999</v>
      </c>
      <c r="R21" s="34">
        <v>533265</v>
      </c>
      <c r="S21" s="34">
        <v>287288000</v>
      </c>
      <c r="T21">
        <v>2.2400000000000002</v>
      </c>
      <c r="U21" s="33">
        <v>-0.12559999999999999</v>
      </c>
    </row>
    <row r="22" spans="1:21" x14ac:dyDescent="0.25">
      <c r="A22" t="s">
        <v>196</v>
      </c>
      <c r="B22">
        <v>185</v>
      </c>
      <c r="C22">
        <v>-137.46</v>
      </c>
      <c r="D22">
        <v>23.49</v>
      </c>
      <c r="E22">
        <v>4.4870000000000001</v>
      </c>
      <c r="F22" s="33">
        <v>0</v>
      </c>
      <c r="G22">
        <v>1.7989999999999999</v>
      </c>
      <c r="H22">
        <v>6.23</v>
      </c>
      <c r="I22">
        <v>27.13</v>
      </c>
      <c r="J22">
        <v>-4.28</v>
      </c>
      <c r="K22">
        <v>32.61</v>
      </c>
      <c r="L22">
        <v>19.66</v>
      </c>
      <c r="M22" s="33">
        <v>0.16539999999999999</v>
      </c>
      <c r="N22" s="33">
        <v>-1.9699999999999999E-2</v>
      </c>
      <c r="O22">
        <v>2.88</v>
      </c>
      <c r="P22" s="33">
        <v>9.64E-2</v>
      </c>
      <c r="Q22" s="33">
        <v>-0.1709</v>
      </c>
      <c r="R22" s="34">
        <v>15553300</v>
      </c>
      <c r="S22" s="34">
        <v>1315480000</v>
      </c>
      <c r="T22">
        <v>8.5</v>
      </c>
      <c r="U22" s="33">
        <v>0.6452</v>
      </c>
    </row>
    <row r="23" spans="1:21" x14ac:dyDescent="0.25">
      <c r="A23" t="s">
        <v>321</v>
      </c>
      <c r="B23">
        <v>5.39</v>
      </c>
      <c r="C23">
        <v>0.15</v>
      </c>
      <c r="D23">
        <v>0.24</v>
      </c>
      <c r="E23">
        <v>7.9000000000000001E-2</v>
      </c>
      <c r="F23" s="33">
        <v>0</v>
      </c>
      <c r="G23">
        <v>6.2E-2</v>
      </c>
      <c r="H23">
        <v>0.46</v>
      </c>
      <c r="I23">
        <v>-0.83</v>
      </c>
      <c r="J23">
        <v>-0.19</v>
      </c>
      <c r="K23">
        <v>-1.57</v>
      </c>
      <c r="L23">
        <v>-6.9</v>
      </c>
      <c r="M23" s="33">
        <v>-9.5399999999999999E-2</v>
      </c>
      <c r="N23" s="33">
        <v>0.53639999999999999</v>
      </c>
      <c r="O23">
        <v>1.49</v>
      </c>
      <c r="P23" s="33">
        <v>-9.4299999999999995E-2</v>
      </c>
      <c r="Q23" s="33">
        <v>1.6384000000000001</v>
      </c>
      <c r="R23" s="34">
        <v>15020000</v>
      </c>
      <c r="S23" s="34">
        <v>4475000000</v>
      </c>
      <c r="T23">
        <v>0.41</v>
      </c>
      <c r="U23" s="33">
        <v>-1.9599999999999999E-2</v>
      </c>
    </row>
    <row r="24" spans="1:21" x14ac:dyDescent="0.25">
      <c r="A24" t="s">
        <v>322</v>
      </c>
      <c r="B24">
        <v>12.25</v>
      </c>
      <c r="C24">
        <v>-3.69</v>
      </c>
      <c r="D24">
        <v>0.21</v>
      </c>
      <c r="E24">
        <v>3.2000000000000001E-2</v>
      </c>
      <c r="F24" s="33">
        <v>0</v>
      </c>
      <c r="G24">
        <v>5.1999999999999998E-2</v>
      </c>
      <c r="H24">
        <v>0.23</v>
      </c>
      <c r="I24">
        <v>1.59</v>
      </c>
      <c r="J24">
        <v>-0.35</v>
      </c>
      <c r="K24">
        <v>10.54</v>
      </c>
      <c r="L24">
        <v>5.69</v>
      </c>
      <c r="M24" s="33">
        <v>0.02</v>
      </c>
      <c r="N24" s="33">
        <v>-8.6E-3</v>
      </c>
      <c r="O24">
        <v>1.61</v>
      </c>
      <c r="P24" s="33">
        <v>4.4999999999999998E-2</v>
      </c>
      <c r="Q24" s="33">
        <v>-5.5500000000000001E-2</v>
      </c>
      <c r="R24" s="34">
        <v>2453550</v>
      </c>
      <c r="S24" s="34">
        <v>2262550000</v>
      </c>
      <c r="T24">
        <v>1.53</v>
      </c>
      <c r="U24" s="33">
        <v>0</v>
      </c>
    </row>
    <row r="25" spans="1:21" x14ac:dyDescent="0.25">
      <c r="A25" t="s">
        <v>167</v>
      </c>
      <c r="B25">
        <v>4.05</v>
      </c>
      <c r="C25">
        <v>14.06</v>
      </c>
      <c r="D25">
        <v>0.69</v>
      </c>
      <c r="E25">
        <v>0.42499999999999999</v>
      </c>
      <c r="F25" s="33">
        <v>0.12959999999999999</v>
      </c>
      <c r="G25">
        <v>0.16400000000000001</v>
      </c>
      <c r="H25">
        <v>1.37</v>
      </c>
      <c r="I25">
        <v>1.54</v>
      </c>
      <c r="J25">
        <v>-0.35</v>
      </c>
      <c r="K25">
        <v>5.29</v>
      </c>
      <c r="L25">
        <v>3.69</v>
      </c>
      <c r="M25" s="33">
        <v>0.27600000000000002</v>
      </c>
      <c r="N25" s="33">
        <v>6.4199999999999993E-2</v>
      </c>
      <c r="O25">
        <v>2.06</v>
      </c>
      <c r="P25" s="33">
        <v>0.1275</v>
      </c>
      <c r="Q25" s="33">
        <v>4.9099999999999998E-2</v>
      </c>
      <c r="R25" s="34">
        <v>35160500</v>
      </c>
      <c r="S25" s="34">
        <v>2369750000</v>
      </c>
      <c r="T25">
        <v>2.27</v>
      </c>
      <c r="U25" s="33">
        <v>0.23</v>
      </c>
    </row>
    <row r="26" spans="1:21" x14ac:dyDescent="0.25">
      <c r="A26" t="s">
        <v>264</v>
      </c>
      <c r="B26">
        <v>5.09</v>
      </c>
      <c r="C26">
        <v>13.54</v>
      </c>
      <c r="D26">
        <v>1.4</v>
      </c>
      <c r="E26">
        <v>0.97</v>
      </c>
      <c r="F26" s="33">
        <v>6.2199999999999998E-2</v>
      </c>
      <c r="G26">
        <v>0.38500000000000001</v>
      </c>
      <c r="H26">
        <v>2.16</v>
      </c>
      <c r="I26">
        <v>3.66</v>
      </c>
      <c r="J26">
        <v>-0.94</v>
      </c>
      <c r="K26">
        <v>7.29</v>
      </c>
      <c r="L26">
        <v>5.04</v>
      </c>
      <c r="M26" s="33">
        <v>0.26490000000000002</v>
      </c>
      <c r="N26" s="33">
        <v>7.1599999999999997E-2</v>
      </c>
      <c r="O26">
        <v>2.42</v>
      </c>
      <c r="P26" s="33">
        <v>0.13800000000000001</v>
      </c>
      <c r="Q26" s="33">
        <v>0.1031</v>
      </c>
      <c r="R26" s="34">
        <v>4602900</v>
      </c>
      <c r="S26" s="34">
        <v>1263400000</v>
      </c>
      <c r="T26">
        <v>1.96</v>
      </c>
      <c r="U26" s="33">
        <v>0.49309999999999998</v>
      </c>
    </row>
    <row r="27" spans="1:21" x14ac:dyDescent="0.25">
      <c r="A27" t="s">
        <v>182</v>
      </c>
      <c r="B27">
        <v>11.55</v>
      </c>
      <c r="C27">
        <v>18.91</v>
      </c>
      <c r="D27">
        <v>2.9</v>
      </c>
      <c r="E27">
        <v>0.20799999999999999</v>
      </c>
      <c r="F27" s="33">
        <v>9.2999999999999992E-3</v>
      </c>
      <c r="G27">
        <v>0.35</v>
      </c>
      <c r="H27">
        <v>19.28</v>
      </c>
      <c r="I27">
        <v>2.84</v>
      </c>
      <c r="J27">
        <v>-0.66</v>
      </c>
      <c r="K27">
        <v>5.01</v>
      </c>
      <c r="L27">
        <v>3.84</v>
      </c>
      <c r="M27" s="33">
        <v>7.3099999999999998E-2</v>
      </c>
      <c r="N27" s="33">
        <v>1.0999999999999999E-2</v>
      </c>
      <c r="O27">
        <v>1.05</v>
      </c>
      <c r="P27" s="33">
        <v>0.1903</v>
      </c>
      <c r="Q27" s="33">
        <v>0.15340000000000001</v>
      </c>
      <c r="R27" s="34">
        <v>137197000</v>
      </c>
      <c r="S27" s="34">
        <v>5385000000</v>
      </c>
      <c r="T27">
        <v>3.03</v>
      </c>
      <c r="U27" s="33">
        <v>0.2361</v>
      </c>
    </row>
    <row r="28" spans="1:21" x14ac:dyDescent="0.25">
      <c r="A28" t="s">
        <v>323</v>
      </c>
      <c r="B28">
        <v>1.85</v>
      </c>
      <c r="C28">
        <v>-8.7200000000000006</v>
      </c>
      <c r="D28">
        <v>2.08</v>
      </c>
      <c r="E28">
        <v>1.411</v>
      </c>
      <c r="F28" s="33">
        <v>0</v>
      </c>
      <c r="G28">
        <v>1.677</v>
      </c>
      <c r="H28">
        <v>3.88</v>
      </c>
      <c r="I28">
        <v>23.79</v>
      </c>
      <c r="J28">
        <v>4.22</v>
      </c>
      <c r="K28">
        <v>23.39</v>
      </c>
      <c r="L28">
        <v>14.27</v>
      </c>
      <c r="M28" s="33">
        <v>5.9299999999999999E-2</v>
      </c>
      <c r="N28" s="33">
        <v>-0.1111</v>
      </c>
      <c r="O28">
        <v>6.45</v>
      </c>
      <c r="P28" s="33">
        <v>7.8299999999999995E-2</v>
      </c>
      <c r="Q28" s="33">
        <v>-0.2379</v>
      </c>
      <c r="R28" s="34">
        <v>111085</v>
      </c>
      <c r="S28" s="34">
        <v>21223000</v>
      </c>
      <c r="T28">
        <v>0.06</v>
      </c>
      <c r="U28" s="33">
        <v>0</v>
      </c>
    </row>
    <row r="29" spans="1:21" x14ac:dyDescent="0.25">
      <c r="A29" t="s">
        <v>265</v>
      </c>
      <c r="B29">
        <v>1.25</v>
      </c>
      <c r="C29">
        <v>-0.21</v>
      </c>
      <c r="D29">
        <v>0.31</v>
      </c>
      <c r="E29">
        <v>8.5000000000000006E-2</v>
      </c>
      <c r="F29" s="33">
        <v>0</v>
      </c>
      <c r="G29">
        <v>0.03</v>
      </c>
      <c r="H29">
        <v>-0.12</v>
      </c>
      <c r="I29">
        <v>-0.62</v>
      </c>
      <c r="J29">
        <v>-0.04</v>
      </c>
      <c r="K29">
        <v>-3.53</v>
      </c>
      <c r="L29">
        <v>-17.98</v>
      </c>
      <c r="M29" s="33">
        <v>-0.1366</v>
      </c>
      <c r="N29" s="33">
        <v>-0.41139999999999999</v>
      </c>
      <c r="O29">
        <v>0.38</v>
      </c>
      <c r="P29" s="33">
        <v>-5.28E-2</v>
      </c>
      <c r="Q29" s="33">
        <v>-1.5024</v>
      </c>
      <c r="R29" s="34">
        <v>17856.400000000001</v>
      </c>
      <c r="S29" s="34">
        <v>107351000</v>
      </c>
      <c r="T29">
        <v>2.09</v>
      </c>
      <c r="U29" s="33">
        <v>-0.25879999999999997</v>
      </c>
    </row>
    <row r="30" spans="1:21" x14ac:dyDescent="0.25">
      <c r="A30" t="s">
        <v>324</v>
      </c>
      <c r="B30">
        <v>47.16</v>
      </c>
      <c r="C30">
        <v>-19.239999999999998</v>
      </c>
      <c r="D30">
        <v>12.75</v>
      </c>
      <c r="E30">
        <v>2.9140000000000001</v>
      </c>
      <c r="F30" s="33">
        <v>2.24E-2</v>
      </c>
      <c r="G30">
        <v>1.5660000000000001</v>
      </c>
      <c r="H30">
        <v>35.92</v>
      </c>
      <c r="I30">
        <v>7.3</v>
      </c>
      <c r="J30">
        <v>-2.68</v>
      </c>
      <c r="K30">
        <v>8.41</v>
      </c>
      <c r="L30">
        <v>8.41</v>
      </c>
      <c r="M30" s="33">
        <v>0.39900000000000002</v>
      </c>
      <c r="N30" s="33">
        <v>-0.15140000000000001</v>
      </c>
      <c r="O30">
        <v>1.17</v>
      </c>
      <c r="P30" s="33">
        <v>0.2918</v>
      </c>
      <c r="Q30" s="33">
        <v>-0.66269999999999996</v>
      </c>
      <c r="R30" s="34">
        <v>12483000</v>
      </c>
      <c r="S30" s="34">
        <v>803132000</v>
      </c>
      <c r="T30">
        <v>3.34</v>
      </c>
      <c r="U30" s="33">
        <v>0.1147</v>
      </c>
    </row>
    <row r="31" spans="1:21" x14ac:dyDescent="0.25">
      <c r="A31" t="s">
        <v>87</v>
      </c>
      <c r="B31">
        <v>9.9</v>
      </c>
      <c r="C31" s="34">
        <v>1787.95</v>
      </c>
      <c r="D31">
        <v>0.78</v>
      </c>
      <c r="E31">
        <v>1.0820000000000001</v>
      </c>
      <c r="F31" s="33">
        <v>5.7999999999999996E-3</v>
      </c>
      <c r="G31">
        <v>0.19900000000000001</v>
      </c>
      <c r="H31">
        <v>3.01</v>
      </c>
      <c r="I31">
        <v>7.15</v>
      </c>
      <c r="J31">
        <v>-0.39</v>
      </c>
      <c r="K31">
        <v>20.91</v>
      </c>
      <c r="L31" s="34">
        <v>13.08</v>
      </c>
      <c r="M31" s="33">
        <v>0.1512</v>
      </c>
      <c r="N31" s="33">
        <v>7.4999999999999997E-3</v>
      </c>
      <c r="O31">
        <v>1.45</v>
      </c>
      <c r="P31" s="33">
        <v>3.2300000000000002E-2</v>
      </c>
      <c r="Q31" s="33">
        <v>4.0000000000000002E-4</v>
      </c>
      <c r="R31" s="34">
        <v>45478200</v>
      </c>
      <c r="S31" s="34">
        <v>13251500000</v>
      </c>
      <c r="T31">
        <v>1.97</v>
      </c>
      <c r="U31" s="33">
        <v>0.3977</v>
      </c>
    </row>
    <row r="32" spans="1:21" x14ac:dyDescent="0.25">
      <c r="A32" t="s">
        <v>325</v>
      </c>
      <c r="B32">
        <v>2.16</v>
      </c>
      <c r="C32">
        <v>-36.01</v>
      </c>
      <c r="D32">
        <v>-4.8499999999999996</v>
      </c>
      <c r="E32">
        <v>0.60699999999999998</v>
      </c>
      <c r="F32" s="33">
        <v>0</v>
      </c>
      <c r="G32">
        <v>0.30399999999999999</v>
      </c>
      <c r="H32">
        <v>-4.7699999999999996</v>
      </c>
      <c r="I32">
        <v>2.21</v>
      </c>
      <c r="J32">
        <v>-0.47</v>
      </c>
      <c r="K32">
        <v>4.4800000000000004</v>
      </c>
      <c r="L32" s="34">
        <v>4.45</v>
      </c>
      <c r="M32" s="33">
        <v>0.2752</v>
      </c>
      <c r="N32" s="33">
        <v>1.3899999999999999E-2</v>
      </c>
      <c r="O32">
        <v>0.86</v>
      </c>
      <c r="P32" s="33">
        <v>0.1759</v>
      </c>
      <c r="Q32" s="33">
        <v>0.13469999999999999</v>
      </c>
      <c r="R32" s="34">
        <v>38394</v>
      </c>
      <c r="S32" s="34">
        <v>-86998000</v>
      </c>
      <c r="T32">
        <v>-7.67</v>
      </c>
      <c r="U32" s="33">
        <v>0.33529999999999999</v>
      </c>
    </row>
    <row r="33" spans="1:21" x14ac:dyDescent="0.25">
      <c r="A33" t="s">
        <v>249</v>
      </c>
      <c r="B33">
        <v>0.55000000000000004</v>
      </c>
      <c r="C33">
        <v>-1.24</v>
      </c>
      <c r="D33">
        <v>0.45</v>
      </c>
      <c r="E33">
        <v>2.121</v>
      </c>
      <c r="F33" s="33">
        <v>0</v>
      </c>
      <c r="G33">
        <v>0.248</v>
      </c>
      <c r="H33">
        <v>-1.59</v>
      </c>
      <c r="I33">
        <v>-3.12</v>
      </c>
      <c r="J33">
        <v>-0.76</v>
      </c>
      <c r="K33">
        <v>-4.3899999999999997</v>
      </c>
      <c r="L33">
        <v>-6.78</v>
      </c>
      <c r="M33" s="33">
        <v>-0.68030000000000002</v>
      </c>
      <c r="N33" s="33">
        <v>-1.7121</v>
      </c>
      <c r="O33">
        <v>0.44</v>
      </c>
      <c r="P33" s="33">
        <v>-8.7300000000000003E-2</v>
      </c>
      <c r="Q33" s="33">
        <v>-0.36630000000000001</v>
      </c>
      <c r="R33" s="34">
        <v>1314420</v>
      </c>
      <c r="S33" s="34">
        <v>718475000</v>
      </c>
      <c r="T33">
        <v>0.2</v>
      </c>
      <c r="U33" s="33">
        <v>0.54369999999999996</v>
      </c>
    </row>
    <row r="34" spans="1:21" x14ac:dyDescent="0.25">
      <c r="A34" t="s">
        <v>237</v>
      </c>
      <c r="B34">
        <v>0.69</v>
      </c>
      <c r="C34">
        <v>-1.55</v>
      </c>
      <c r="D34">
        <v>0.56999999999999995</v>
      </c>
      <c r="E34">
        <v>2.661</v>
      </c>
      <c r="F34" s="33">
        <v>0</v>
      </c>
      <c r="G34">
        <v>0.312</v>
      </c>
      <c r="H34">
        <v>-2</v>
      </c>
      <c r="I34">
        <v>-3.91</v>
      </c>
      <c r="J34">
        <v>-0.95</v>
      </c>
      <c r="K34">
        <v>-5.18</v>
      </c>
      <c r="L34">
        <v>-8.01</v>
      </c>
      <c r="M34" s="33">
        <v>-0.68030000000000002</v>
      </c>
      <c r="N34" s="33">
        <v>-1.7121</v>
      </c>
      <c r="O34">
        <v>0.44</v>
      </c>
      <c r="P34" s="33">
        <v>-8.7300000000000003E-2</v>
      </c>
      <c r="Q34" s="33">
        <v>-0.36630000000000001</v>
      </c>
      <c r="R34" s="34">
        <v>3540560</v>
      </c>
      <c r="S34" s="34">
        <v>718475000</v>
      </c>
      <c r="T34">
        <v>0.2</v>
      </c>
      <c r="U34" s="33">
        <v>0.54369999999999996</v>
      </c>
    </row>
    <row r="35" spans="1:21" x14ac:dyDescent="0.25">
      <c r="A35" t="s">
        <v>326</v>
      </c>
      <c r="B35">
        <v>0.67</v>
      </c>
      <c r="C35">
        <v>-3.07</v>
      </c>
      <c r="D35">
        <v>0.88</v>
      </c>
      <c r="E35">
        <v>50.05</v>
      </c>
      <c r="F35" s="33">
        <v>0</v>
      </c>
      <c r="G35">
        <v>0.65600000000000003</v>
      </c>
      <c r="H35">
        <v>-7.92</v>
      </c>
      <c r="I35">
        <v>-17.510000000000002</v>
      </c>
      <c r="J35">
        <v>-2.63</v>
      </c>
      <c r="K35">
        <v>-18.62</v>
      </c>
      <c r="L35">
        <v>-131.57</v>
      </c>
      <c r="M35" s="33">
        <v>-2.8586</v>
      </c>
      <c r="N35" s="33">
        <v>-16.324400000000001</v>
      </c>
      <c r="O35">
        <v>0.08</v>
      </c>
      <c r="P35" s="33">
        <v>-3.8100000000000002E-2</v>
      </c>
      <c r="Q35" s="33">
        <v>-0.28770000000000001</v>
      </c>
      <c r="R35" s="34">
        <v>2135800</v>
      </c>
      <c r="S35" s="34">
        <v>150106000</v>
      </c>
      <c r="T35">
        <v>0.06</v>
      </c>
      <c r="U35" s="33">
        <v>0</v>
      </c>
    </row>
    <row r="36" spans="1:21" x14ac:dyDescent="0.25">
      <c r="A36" t="s">
        <v>258</v>
      </c>
      <c r="B36">
        <v>0.96</v>
      </c>
      <c r="C36">
        <v>7.0000000000000007E-2</v>
      </c>
      <c r="D36">
        <v>-0.03</v>
      </c>
      <c r="E36">
        <v>4.3999999999999997E-2</v>
      </c>
      <c r="F36" s="33">
        <v>0</v>
      </c>
      <c r="G36">
        <v>3.5000000000000003E-2</v>
      </c>
      <c r="H36">
        <v>-0.08</v>
      </c>
      <c r="I36">
        <v>0.2</v>
      </c>
      <c r="J36">
        <v>-0.02</v>
      </c>
      <c r="K36">
        <v>7.54</v>
      </c>
      <c r="L36">
        <v>4.67</v>
      </c>
      <c r="M36" s="33">
        <v>0.22259999999999999</v>
      </c>
      <c r="N36" s="33">
        <v>0.58760000000000001</v>
      </c>
      <c r="O36">
        <v>0.35</v>
      </c>
      <c r="P36" s="33">
        <v>0.22220000000000001</v>
      </c>
      <c r="Q36" s="33">
        <v>-0.41810000000000003</v>
      </c>
      <c r="R36" s="34">
        <v>137105000</v>
      </c>
      <c r="S36" s="34">
        <v>-28451100000</v>
      </c>
      <c r="T36">
        <v>-1.22</v>
      </c>
      <c r="U36" s="33">
        <v>0.4042</v>
      </c>
    </row>
    <row r="37" spans="1:21" x14ac:dyDescent="0.25">
      <c r="A37" t="s">
        <v>327</v>
      </c>
      <c r="B37">
        <v>43.58</v>
      </c>
      <c r="C37">
        <v>23.29</v>
      </c>
      <c r="D37">
        <v>1.1499999999999999</v>
      </c>
      <c r="E37">
        <v>0.9</v>
      </c>
      <c r="F37" s="33">
        <v>1.9900000000000001E-2</v>
      </c>
      <c r="G37">
        <v>0.58699999999999997</v>
      </c>
      <c r="H37">
        <v>3.61</v>
      </c>
      <c r="I37">
        <v>12.57</v>
      </c>
      <c r="J37">
        <v>-18.47</v>
      </c>
      <c r="K37">
        <v>15.55</v>
      </c>
      <c r="L37">
        <v>8.99</v>
      </c>
      <c r="M37" s="33">
        <v>7.1599999999999997E-2</v>
      </c>
      <c r="N37" s="33">
        <v>3.85E-2</v>
      </c>
      <c r="O37">
        <v>1.55</v>
      </c>
      <c r="P37" s="33">
        <v>5.6800000000000003E-2</v>
      </c>
      <c r="Q37" s="33">
        <v>4.9500000000000002E-2</v>
      </c>
      <c r="R37" s="34">
        <v>96137900</v>
      </c>
      <c r="S37" s="34">
        <v>7804360000</v>
      </c>
      <c r="T37">
        <v>0.42</v>
      </c>
      <c r="U37" s="33">
        <v>0.48170000000000002</v>
      </c>
    </row>
    <row r="38" spans="1:21" x14ac:dyDescent="0.25">
      <c r="A38" t="s">
        <v>183</v>
      </c>
      <c r="B38">
        <v>13.58</v>
      </c>
      <c r="C38">
        <v>15.11</v>
      </c>
      <c r="D38">
        <v>3.81</v>
      </c>
      <c r="E38">
        <v>6.6449999999999996</v>
      </c>
      <c r="F38" s="33">
        <v>2.3800000000000002E-2</v>
      </c>
      <c r="G38">
        <v>1.5449999999999999</v>
      </c>
      <c r="H38">
        <v>8.3699999999999992</v>
      </c>
      <c r="I38">
        <v>11.2</v>
      </c>
      <c r="J38">
        <v>-6.29</v>
      </c>
      <c r="K38">
        <v>11.26</v>
      </c>
      <c r="L38">
        <v>10.61</v>
      </c>
      <c r="M38" s="33">
        <v>0.59299999999999997</v>
      </c>
      <c r="N38" s="33">
        <v>0.43969999999999998</v>
      </c>
      <c r="O38">
        <v>2.13</v>
      </c>
      <c r="P38" s="33">
        <v>0.20280000000000001</v>
      </c>
      <c r="Q38" s="33">
        <v>0.25180000000000002</v>
      </c>
      <c r="R38" s="34">
        <v>617026000</v>
      </c>
      <c r="S38" s="34">
        <v>18794600000</v>
      </c>
      <c r="T38">
        <v>0.79</v>
      </c>
      <c r="U38" s="33">
        <v>1.6E-2</v>
      </c>
    </row>
    <row r="39" spans="1:21" x14ac:dyDescent="0.25">
      <c r="A39" t="s">
        <v>328</v>
      </c>
      <c r="B39">
        <v>16.3</v>
      </c>
      <c r="C39">
        <v>5.15</v>
      </c>
      <c r="D39">
        <v>0.88</v>
      </c>
      <c r="E39">
        <v>0.77</v>
      </c>
      <c r="F39" s="33">
        <v>8.3299999999999999E-2</v>
      </c>
      <c r="G39">
        <v>0.56799999999999995</v>
      </c>
      <c r="H39">
        <v>1.1100000000000001</v>
      </c>
      <c r="I39">
        <v>4.6900000000000004</v>
      </c>
      <c r="J39">
        <v>1.52</v>
      </c>
      <c r="K39">
        <v>2.85</v>
      </c>
      <c r="L39">
        <v>2.48</v>
      </c>
      <c r="M39" s="33">
        <v>0.16450000000000001</v>
      </c>
      <c r="N39" s="33">
        <v>0.1517</v>
      </c>
      <c r="O39">
        <v>3.3</v>
      </c>
      <c r="P39" s="33">
        <v>0.17910000000000001</v>
      </c>
      <c r="Q39" s="33">
        <v>0.1699</v>
      </c>
      <c r="R39" s="34">
        <v>152.29</v>
      </c>
      <c r="S39" s="34">
        <v>182554000</v>
      </c>
      <c r="T39">
        <v>0.09</v>
      </c>
      <c r="U39" s="33">
        <v>6.9500000000000006E-2</v>
      </c>
    </row>
    <row r="40" spans="1:21" x14ac:dyDescent="0.25">
      <c r="A40" t="s">
        <v>329</v>
      </c>
      <c r="B40">
        <v>16.5</v>
      </c>
      <c r="C40">
        <v>5.21</v>
      </c>
      <c r="D40">
        <v>0.89</v>
      </c>
      <c r="E40">
        <v>0.78</v>
      </c>
      <c r="F40" s="33">
        <v>8.2299999999999998E-2</v>
      </c>
      <c r="G40">
        <v>0.57399999999999995</v>
      </c>
      <c r="H40">
        <v>1.1299999999999999</v>
      </c>
      <c r="I40">
        <v>4.74</v>
      </c>
      <c r="J40">
        <v>1.54</v>
      </c>
      <c r="K40">
        <v>2.9</v>
      </c>
      <c r="L40">
        <v>2.5299999999999998</v>
      </c>
      <c r="M40" s="33">
        <v>0.16450000000000001</v>
      </c>
      <c r="N40" s="33">
        <v>0.1517</v>
      </c>
      <c r="O40">
        <v>3.3</v>
      </c>
      <c r="P40" s="33">
        <v>0.17910000000000001</v>
      </c>
      <c r="Q40" s="33">
        <v>0.1699</v>
      </c>
      <c r="R40" s="34">
        <v>13627.4</v>
      </c>
      <c r="S40" s="34">
        <v>182554000</v>
      </c>
      <c r="T40">
        <v>0.09</v>
      </c>
      <c r="U40" s="33">
        <v>6.9500000000000006E-2</v>
      </c>
    </row>
    <row r="41" spans="1:21" x14ac:dyDescent="0.25">
      <c r="A41" t="s">
        <v>330</v>
      </c>
      <c r="B41">
        <v>81.86</v>
      </c>
      <c r="C41">
        <v>15.98</v>
      </c>
      <c r="D41">
        <v>3.28</v>
      </c>
      <c r="E41">
        <v>1.6679999999999999</v>
      </c>
      <c r="F41" s="33">
        <v>1.5100000000000001E-2</v>
      </c>
      <c r="G41">
        <v>2.2509999999999999</v>
      </c>
      <c r="H41">
        <v>9.5399999999999991</v>
      </c>
      <c r="I41">
        <v>21.62</v>
      </c>
      <c r="J41">
        <v>10.220000000000001</v>
      </c>
      <c r="K41">
        <v>19.350000000000001</v>
      </c>
      <c r="L41">
        <v>15.16</v>
      </c>
      <c r="M41" s="33">
        <v>7.7200000000000005E-2</v>
      </c>
      <c r="N41" s="33">
        <v>0.10440000000000001</v>
      </c>
      <c r="O41">
        <v>1.79</v>
      </c>
      <c r="P41" s="33">
        <v>0.17910000000000001</v>
      </c>
      <c r="Q41" s="33">
        <v>0.2051</v>
      </c>
      <c r="R41" s="34">
        <v>4961.2700000000004</v>
      </c>
      <c r="S41" s="34">
        <v>130425000</v>
      </c>
      <c r="T41">
        <v>0</v>
      </c>
      <c r="U41" s="33">
        <v>9.0999999999999998E-2</v>
      </c>
    </row>
    <row r="42" spans="1:21" x14ac:dyDescent="0.25">
      <c r="A42" t="s">
        <v>331</v>
      </c>
      <c r="B42">
        <v>69.239999999999995</v>
      </c>
      <c r="C42">
        <v>3.43</v>
      </c>
      <c r="D42">
        <v>0.59</v>
      </c>
      <c r="E42">
        <v>0</v>
      </c>
      <c r="F42" s="33">
        <v>0.1153</v>
      </c>
      <c r="G42">
        <v>0</v>
      </c>
      <c r="H42">
        <v>0</v>
      </c>
      <c r="I42">
        <v>0</v>
      </c>
      <c r="J42">
        <v>0</v>
      </c>
      <c r="K42">
        <v>0</v>
      </c>
      <c r="L42">
        <v>0</v>
      </c>
      <c r="M42" s="33">
        <v>0</v>
      </c>
      <c r="N42" s="33">
        <v>0</v>
      </c>
      <c r="O42">
        <v>0</v>
      </c>
      <c r="P42" s="33">
        <v>0</v>
      </c>
      <c r="Q42" s="33">
        <v>0.17330000000000001</v>
      </c>
      <c r="R42" s="34">
        <v>423057</v>
      </c>
      <c r="S42" s="34">
        <v>6531090000</v>
      </c>
      <c r="T42">
        <v>0</v>
      </c>
      <c r="U42" s="33">
        <v>0.1386</v>
      </c>
    </row>
    <row r="43" spans="1:21" x14ac:dyDescent="0.25">
      <c r="A43" t="s">
        <v>232</v>
      </c>
      <c r="B43">
        <v>22.24</v>
      </c>
      <c r="C43">
        <v>3.83</v>
      </c>
      <c r="D43">
        <v>0.73</v>
      </c>
      <c r="E43">
        <v>0</v>
      </c>
      <c r="F43" s="33">
        <v>0.13669999999999999</v>
      </c>
      <c r="G43">
        <v>0</v>
      </c>
      <c r="H43">
        <v>0</v>
      </c>
      <c r="I43">
        <v>0</v>
      </c>
      <c r="J43">
        <v>0</v>
      </c>
      <c r="K43">
        <v>0</v>
      </c>
      <c r="L43">
        <v>0</v>
      </c>
      <c r="M43" s="33">
        <v>0</v>
      </c>
      <c r="N43" s="33">
        <v>0</v>
      </c>
      <c r="O43">
        <v>0</v>
      </c>
      <c r="P43" s="33">
        <v>0</v>
      </c>
      <c r="Q43" s="33">
        <v>0.1905</v>
      </c>
      <c r="R43" s="34">
        <v>785778000</v>
      </c>
      <c r="S43" s="34">
        <v>174643000000</v>
      </c>
      <c r="T43">
        <v>0</v>
      </c>
      <c r="U43" s="33">
        <v>0.15529999999999999</v>
      </c>
    </row>
    <row r="44" spans="1:21" x14ac:dyDescent="0.25">
      <c r="A44" t="s">
        <v>95</v>
      </c>
      <c r="B44">
        <v>13.79</v>
      </c>
      <c r="C44">
        <v>7.06</v>
      </c>
      <c r="D44">
        <v>0.89</v>
      </c>
      <c r="E44">
        <v>0</v>
      </c>
      <c r="F44" s="33">
        <v>8.8800000000000004E-2</v>
      </c>
      <c r="G44">
        <v>0</v>
      </c>
      <c r="H44">
        <v>0</v>
      </c>
      <c r="I44">
        <v>0</v>
      </c>
      <c r="J44">
        <v>0</v>
      </c>
      <c r="K44">
        <v>0</v>
      </c>
      <c r="L44">
        <v>0</v>
      </c>
      <c r="M44" s="33">
        <v>0</v>
      </c>
      <c r="N44" s="33">
        <v>0</v>
      </c>
      <c r="O44">
        <v>0</v>
      </c>
      <c r="P44" s="33">
        <v>0</v>
      </c>
      <c r="Q44" s="33">
        <v>0.12590000000000001</v>
      </c>
      <c r="R44" s="34">
        <v>122037000</v>
      </c>
      <c r="S44" s="34">
        <v>164193000000</v>
      </c>
      <c r="T44">
        <v>0</v>
      </c>
      <c r="U44" s="33">
        <v>-4.48E-2</v>
      </c>
    </row>
    <row r="45" spans="1:21" x14ac:dyDescent="0.25">
      <c r="A45" t="s">
        <v>110</v>
      </c>
      <c r="B45">
        <v>15.97</v>
      </c>
      <c r="C45">
        <v>8.18</v>
      </c>
      <c r="D45">
        <v>1.03</v>
      </c>
      <c r="E45">
        <v>0</v>
      </c>
      <c r="F45" s="33">
        <v>8.43E-2</v>
      </c>
      <c r="G45">
        <v>0</v>
      </c>
      <c r="H45">
        <v>0</v>
      </c>
      <c r="I45">
        <v>0</v>
      </c>
      <c r="J45">
        <v>0</v>
      </c>
      <c r="K45">
        <v>0</v>
      </c>
      <c r="L45">
        <v>0</v>
      </c>
      <c r="M45" s="33">
        <v>0</v>
      </c>
      <c r="N45" s="33">
        <v>0</v>
      </c>
      <c r="O45">
        <v>0</v>
      </c>
      <c r="P45" s="33">
        <v>0</v>
      </c>
      <c r="Q45" s="33">
        <v>0.12590000000000001</v>
      </c>
      <c r="R45" s="34">
        <v>592594000</v>
      </c>
      <c r="S45" s="34">
        <v>164193000000</v>
      </c>
      <c r="T45">
        <v>0</v>
      </c>
      <c r="U45" s="33">
        <v>-4.48E-2</v>
      </c>
    </row>
    <row r="46" spans="1:21" x14ac:dyDescent="0.25">
      <c r="A46" t="s">
        <v>42</v>
      </c>
      <c r="B46">
        <v>36.299999999999997</v>
      </c>
      <c r="C46">
        <v>8.4</v>
      </c>
      <c r="D46">
        <v>6.23</v>
      </c>
      <c r="E46">
        <v>0</v>
      </c>
      <c r="F46" s="33">
        <v>0.10199999999999999</v>
      </c>
      <c r="G46">
        <v>3.919</v>
      </c>
      <c r="H46">
        <v>0</v>
      </c>
      <c r="I46">
        <v>7.5</v>
      </c>
      <c r="J46">
        <v>0</v>
      </c>
      <c r="K46">
        <v>0</v>
      </c>
      <c r="L46">
        <v>0</v>
      </c>
      <c r="M46" s="33">
        <v>0</v>
      </c>
      <c r="N46" s="33">
        <v>0</v>
      </c>
      <c r="O46">
        <v>0</v>
      </c>
      <c r="P46" s="33">
        <v>0</v>
      </c>
      <c r="Q46" s="33">
        <v>0.74129999999999996</v>
      </c>
      <c r="R46" s="34">
        <v>210447000</v>
      </c>
      <c r="S46" s="34">
        <v>11662000000</v>
      </c>
      <c r="T46">
        <v>0</v>
      </c>
      <c r="U46" s="33">
        <v>0</v>
      </c>
    </row>
    <row r="47" spans="1:21" x14ac:dyDescent="0.25">
      <c r="A47" t="s">
        <v>332</v>
      </c>
      <c r="B47">
        <v>8.5</v>
      </c>
      <c r="C47">
        <v>-0.51</v>
      </c>
      <c r="D47">
        <v>-0.06</v>
      </c>
      <c r="E47">
        <v>0.32400000000000001</v>
      </c>
      <c r="F47" s="33">
        <v>0</v>
      </c>
      <c r="G47">
        <v>2.5999999999999999E-2</v>
      </c>
      <c r="H47">
        <v>-0.05</v>
      </c>
      <c r="I47">
        <v>-1.1000000000000001</v>
      </c>
      <c r="J47">
        <v>-0.03</v>
      </c>
      <c r="K47">
        <v>-14.78</v>
      </c>
      <c r="L47">
        <v>-17.63</v>
      </c>
      <c r="M47" s="33">
        <v>-0.29549999999999998</v>
      </c>
      <c r="N47" s="33">
        <v>-0.63990000000000002</v>
      </c>
      <c r="O47">
        <v>0.46</v>
      </c>
      <c r="P47" s="33">
        <v>-2.5100000000000001E-2</v>
      </c>
      <c r="Q47" s="33">
        <v>0.11509999999999999</v>
      </c>
      <c r="R47" s="34">
        <v>2085.56</v>
      </c>
      <c r="S47" s="34">
        <v>-233585000</v>
      </c>
      <c r="T47">
        <v>-0.8</v>
      </c>
      <c r="U47" s="33">
        <v>0.21890000000000001</v>
      </c>
    </row>
    <row r="48" spans="1:21" x14ac:dyDescent="0.25">
      <c r="A48" t="s">
        <v>333</v>
      </c>
      <c r="B48">
        <v>7.76</v>
      </c>
      <c r="C48">
        <v>-0.46</v>
      </c>
      <c r="D48">
        <v>-0.05</v>
      </c>
      <c r="E48">
        <v>0.29599999999999999</v>
      </c>
      <c r="F48" s="33">
        <v>0</v>
      </c>
      <c r="G48">
        <v>2.3E-2</v>
      </c>
      <c r="H48">
        <v>-0.05</v>
      </c>
      <c r="I48">
        <v>-1</v>
      </c>
      <c r="J48">
        <v>-0.02</v>
      </c>
      <c r="K48">
        <v>-14.68</v>
      </c>
      <c r="L48">
        <v>-17.510000000000002</v>
      </c>
      <c r="M48" s="33">
        <v>-0.29549999999999998</v>
      </c>
      <c r="N48" s="33">
        <v>-0.63990000000000002</v>
      </c>
      <c r="O48">
        <v>0.46</v>
      </c>
      <c r="P48" s="33">
        <v>-2.5100000000000001E-2</v>
      </c>
      <c r="Q48" s="33">
        <v>0.11509999999999999</v>
      </c>
      <c r="R48" s="34">
        <v>2229.27</v>
      </c>
      <c r="S48" s="34">
        <v>-233585000</v>
      </c>
      <c r="T48">
        <v>-0.8</v>
      </c>
      <c r="U48" s="33">
        <v>0.21890000000000001</v>
      </c>
    </row>
    <row r="49" spans="1:21" x14ac:dyDescent="0.25">
      <c r="A49" t="s">
        <v>179</v>
      </c>
      <c r="B49">
        <v>4.92</v>
      </c>
      <c r="C49">
        <v>-2.4900000000000002</v>
      </c>
      <c r="D49">
        <v>-4.59</v>
      </c>
      <c r="E49">
        <v>7.8E-2</v>
      </c>
      <c r="F49" s="33">
        <v>0</v>
      </c>
      <c r="G49">
        <v>7.3999999999999996E-2</v>
      </c>
      <c r="H49">
        <v>0.4</v>
      </c>
      <c r="I49">
        <v>1.1499999999999999</v>
      </c>
      <c r="J49">
        <v>-0.17</v>
      </c>
      <c r="K49">
        <v>7.13</v>
      </c>
      <c r="L49">
        <v>5.52</v>
      </c>
      <c r="M49" s="33">
        <v>6.8400000000000002E-2</v>
      </c>
      <c r="N49" s="33">
        <v>-3.1300000000000001E-2</v>
      </c>
      <c r="O49">
        <v>1.48</v>
      </c>
      <c r="P49" s="33">
        <v>0.12130000000000001</v>
      </c>
      <c r="Q49" s="33">
        <v>1.8464</v>
      </c>
      <c r="R49" s="34">
        <v>120164000</v>
      </c>
      <c r="S49" s="34">
        <v>-650682000</v>
      </c>
      <c r="T49">
        <v>-42.2</v>
      </c>
      <c r="U49" s="33">
        <v>0.1232</v>
      </c>
    </row>
    <row r="50" spans="1:21" x14ac:dyDescent="0.25">
      <c r="A50" t="s">
        <v>6</v>
      </c>
      <c r="B50">
        <v>8.58</v>
      </c>
      <c r="C50">
        <v>7.16</v>
      </c>
      <c r="D50">
        <v>1.19</v>
      </c>
      <c r="E50">
        <v>0</v>
      </c>
      <c r="F50" s="33">
        <v>5.6599999999999998E-2</v>
      </c>
      <c r="G50">
        <v>0</v>
      </c>
      <c r="H50">
        <v>0</v>
      </c>
      <c r="I50">
        <v>0</v>
      </c>
      <c r="J50">
        <v>0</v>
      </c>
      <c r="K50">
        <v>0</v>
      </c>
      <c r="L50">
        <v>0</v>
      </c>
      <c r="M50" s="33">
        <v>0</v>
      </c>
      <c r="N50" s="33">
        <v>0</v>
      </c>
      <c r="O50">
        <v>0</v>
      </c>
      <c r="P50" s="33">
        <v>0</v>
      </c>
      <c r="Q50" s="33">
        <v>0.16669999999999999</v>
      </c>
      <c r="R50" s="34">
        <v>108233</v>
      </c>
      <c r="S50" s="34">
        <v>2271950000</v>
      </c>
      <c r="T50">
        <v>0</v>
      </c>
      <c r="U50" s="33">
        <v>0.13350000000000001</v>
      </c>
    </row>
    <row r="51" spans="1:21" x14ac:dyDescent="0.25">
      <c r="A51" t="s">
        <v>23</v>
      </c>
      <c r="B51">
        <v>8.74</v>
      </c>
      <c r="C51">
        <v>7.29</v>
      </c>
      <c r="D51">
        <v>1.22</v>
      </c>
      <c r="E51">
        <v>0</v>
      </c>
      <c r="F51" s="33">
        <v>5.5599999999999997E-2</v>
      </c>
      <c r="G51">
        <v>0</v>
      </c>
      <c r="H51">
        <v>0</v>
      </c>
      <c r="I51">
        <v>0</v>
      </c>
      <c r="J51">
        <v>0</v>
      </c>
      <c r="K51">
        <v>0</v>
      </c>
      <c r="L51">
        <v>0</v>
      </c>
      <c r="M51" s="33">
        <v>0</v>
      </c>
      <c r="N51" s="33">
        <v>0</v>
      </c>
      <c r="O51">
        <v>0</v>
      </c>
      <c r="P51" s="33">
        <v>0</v>
      </c>
      <c r="Q51" s="33">
        <v>0.16669999999999999</v>
      </c>
      <c r="R51" s="34">
        <v>32843.699999999997</v>
      </c>
      <c r="S51" s="34">
        <v>2271950000</v>
      </c>
      <c r="T51">
        <v>0</v>
      </c>
      <c r="U51" s="33">
        <v>0.13350000000000001</v>
      </c>
    </row>
    <row r="52" spans="1:21" x14ac:dyDescent="0.25">
      <c r="A52" t="s">
        <v>334</v>
      </c>
      <c r="B52">
        <v>31.36</v>
      </c>
      <c r="C52">
        <v>4.6100000000000003</v>
      </c>
      <c r="D52">
        <v>0.83</v>
      </c>
      <c r="E52">
        <v>0</v>
      </c>
      <c r="F52" s="33">
        <v>0.1167</v>
      </c>
      <c r="G52">
        <v>0</v>
      </c>
      <c r="H52">
        <v>0</v>
      </c>
      <c r="I52">
        <v>0</v>
      </c>
      <c r="J52">
        <v>0</v>
      </c>
      <c r="K52">
        <v>0</v>
      </c>
      <c r="L52">
        <v>0</v>
      </c>
      <c r="M52" s="33">
        <v>0</v>
      </c>
      <c r="N52" s="33">
        <v>0</v>
      </c>
      <c r="O52">
        <v>0</v>
      </c>
      <c r="P52" s="33">
        <v>0</v>
      </c>
      <c r="Q52" s="33">
        <v>0.18110000000000001</v>
      </c>
      <c r="R52" s="34">
        <v>758.2</v>
      </c>
      <c r="S52" s="34">
        <v>810042000</v>
      </c>
      <c r="T52">
        <v>0</v>
      </c>
      <c r="U52" s="33">
        <v>2.1499999999999998E-2</v>
      </c>
    </row>
    <row r="53" spans="1:21" x14ac:dyDescent="0.25">
      <c r="A53" t="s">
        <v>335</v>
      </c>
      <c r="B53">
        <v>29</v>
      </c>
      <c r="C53">
        <v>4.26</v>
      </c>
      <c r="D53">
        <v>0.77</v>
      </c>
      <c r="E53">
        <v>0</v>
      </c>
      <c r="F53" s="33">
        <v>0.1389</v>
      </c>
      <c r="G53">
        <v>0</v>
      </c>
      <c r="H53">
        <v>0</v>
      </c>
      <c r="I53">
        <v>0</v>
      </c>
      <c r="J53">
        <v>0</v>
      </c>
      <c r="K53">
        <v>0</v>
      </c>
      <c r="L53">
        <v>0</v>
      </c>
      <c r="M53" s="33">
        <v>0</v>
      </c>
      <c r="N53" s="33">
        <v>0</v>
      </c>
      <c r="O53">
        <v>0</v>
      </c>
      <c r="P53" s="33">
        <v>0</v>
      </c>
      <c r="Q53" s="33">
        <v>0.18110000000000001</v>
      </c>
      <c r="R53" s="34">
        <v>60653.8</v>
      </c>
      <c r="S53" s="34">
        <v>810042000</v>
      </c>
      <c r="T53">
        <v>0</v>
      </c>
      <c r="U53" s="33">
        <v>2.1499999999999998E-2</v>
      </c>
    </row>
    <row r="54" spans="1:21" x14ac:dyDescent="0.25">
      <c r="A54" t="s">
        <v>336</v>
      </c>
      <c r="B54">
        <v>4.0199999999999996</v>
      </c>
      <c r="C54">
        <v>-0.32</v>
      </c>
      <c r="D54">
        <v>0.18</v>
      </c>
      <c r="E54">
        <v>1.4E-2</v>
      </c>
      <c r="F54" s="33">
        <v>0</v>
      </c>
      <c r="G54">
        <v>1.2E-2</v>
      </c>
      <c r="H54">
        <v>-0.08</v>
      </c>
      <c r="I54">
        <v>0.21</v>
      </c>
      <c r="J54">
        <v>-0.02</v>
      </c>
      <c r="K54">
        <v>4.79</v>
      </c>
      <c r="L54">
        <v>3.05</v>
      </c>
      <c r="M54" s="33">
        <v>6.6900000000000001E-2</v>
      </c>
      <c r="N54" s="33">
        <v>-4.2799999999999998E-2</v>
      </c>
      <c r="O54">
        <v>0.74</v>
      </c>
      <c r="P54" s="33">
        <v>7.8200000000000006E-2</v>
      </c>
      <c r="Q54" s="33">
        <v>-0.5706</v>
      </c>
      <c r="R54" s="34">
        <v>25945300</v>
      </c>
      <c r="S54" s="34">
        <v>2089000000</v>
      </c>
      <c r="T54">
        <v>4.66</v>
      </c>
      <c r="U54" s="33">
        <v>-2.52E-2</v>
      </c>
    </row>
    <row r="55" spans="1:21" x14ac:dyDescent="0.25">
      <c r="A55" t="s">
        <v>337</v>
      </c>
      <c r="B55">
        <v>4.95</v>
      </c>
      <c r="C55">
        <v>-1.79</v>
      </c>
      <c r="D55">
        <v>1.74</v>
      </c>
      <c r="E55">
        <v>0.36399999999999999</v>
      </c>
      <c r="F55" s="33">
        <v>0</v>
      </c>
      <c r="G55">
        <v>0.26100000000000001</v>
      </c>
      <c r="H55" s="34">
        <v>-1.23</v>
      </c>
      <c r="I55">
        <v>71.19</v>
      </c>
      <c r="J55">
        <v>-0.38</v>
      </c>
      <c r="K55">
        <v>91.93</v>
      </c>
      <c r="L55">
        <v>9.26</v>
      </c>
      <c r="M55" s="33">
        <v>5.1000000000000004E-3</v>
      </c>
      <c r="N55" s="33">
        <v>-0.2056</v>
      </c>
      <c r="O55">
        <v>0.32</v>
      </c>
      <c r="P55" s="33">
        <v>3.8999999999999998E-3</v>
      </c>
      <c r="Q55" s="33">
        <v>-0.9677</v>
      </c>
      <c r="R55" s="34">
        <v>19769.3</v>
      </c>
      <c r="S55" s="34">
        <v>75212000</v>
      </c>
      <c r="T55">
        <v>0.72</v>
      </c>
      <c r="U55" s="33">
        <v>0.13039999999999999</v>
      </c>
    </row>
    <row r="56" spans="1:21" x14ac:dyDescent="0.25">
      <c r="A56" t="s">
        <v>338</v>
      </c>
      <c r="B56">
        <v>9.84</v>
      </c>
      <c r="C56" s="34">
        <v>-17.38</v>
      </c>
      <c r="D56">
        <v>4.97</v>
      </c>
      <c r="E56">
        <v>8.6709999999999994</v>
      </c>
      <c r="F56" s="33">
        <v>0</v>
      </c>
      <c r="G56">
        <v>2.7850000000000001</v>
      </c>
      <c r="H56">
        <v>9.02</v>
      </c>
      <c r="I56">
        <v>-19.079999999999998</v>
      </c>
      <c r="J56">
        <v>48.67</v>
      </c>
      <c r="K56">
        <v>-19.12</v>
      </c>
      <c r="L56">
        <v>-18.93</v>
      </c>
      <c r="M56" s="33">
        <v>-0.4546</v>
      </c>
      <c r="N56" s="33">
        <v>-0.499</v>
      </c>
      <c r="O56">
        <v>2.64</v>
      </c>
      <c r="P56" s="33">
        <v>-0.218</v>
      </c>
      <c r="Q56" s="33">
        <v>-0.28610000000000002</v>
      </c>
      <c r="R56" s="34">
        <v>341198</v>
      </c>
      <c r="S56" s="34">
        <v>250993000</v>
      </c>
      <c r="T56">
        <v>0.46</v>
      </c>
      <c r="U56" s="33">
        <v>0.1827</v>
      </c>
    </row>
    <row r="57" spans="1:21" x14ac:dyDescent="0.25">
      <c r="A57" t="s">
        <v>187</v>
      </c>
      <c r="B57">
        <v>14.32</v>
      </c>
      <c r="C57">
        <v>9.58</v>
      </c>
      <c r="D57">
        <v>1.17</v>
      </c>
      <c r="E57">
        <v>1.4530000000000001</v>
      </c>
      <c r="F57" s="33">
        <v>3.3399999999999999E-2</v>
      </c>
      <c r="G57">
        <v>0.749</v>
      </c>
      <c r="H57">
        <v>2.2599999999999998</v>
      </c>
      <c r="I57">
        <v>6.89</v>
      </c>
      <c r="J57">
        <v>6.37</v>
      </c>
      <c r="K57">
        <v>7.07</v>
      </c>
      <c r="L57">
        <v>6.17</v>
      </c>
      <c r="M57" s="33">
        <v>0.2109</v>
      </c>
      <c r="N57" s="33">
        <v>0.1497</v>
      </c>
      <c r="O57">
        <v>3.23</v>
      </c>
      <c r="P57" s="33">
        <v>0.13789999999999999</v>
      </c>
      <c r="Q57" s="33">
        <v>0.12180000000000001</v>
      </c>
      <c r="R57" s="34">
        <v>5036340</v>
      </c>
      <c r="S57" s="34">
        <v>2201560000</v>
      </c>
      <c r="T57">
        <v>0.23</v>
      </c>
      <c r="U57" s="33">
        <v>7.4300000000000005E-2</v>
      </c>
    </row>
    <row r="58" spans="1:21" x14ac:dyDescent="0.25">
      <c r="A58" t="s">
        <v>339</v>
      </c>
      <c r="B58">
        <v>5.14</v>
      </c>
      <c r="C58">
        <v>-5.63</v>
      </c>
      <c r="D58">
        <v>0.46</v>
      </c>
      <c r="E58">
        <v>0</v>
      </c>
      <c r="F58" s="33">
        <v>0</v>
      </c>
      <c r="G58">
        <v>0.13800000000000001</v>
      </c>
      <c r="H58">
        <v>-0.76</v>
      </c>
      <c r="I58">
        <v>-42.93</v>
      </c>
      <c r="J58">
        <v>-0.2</v>
      </c>
      <c r="K58">
        <v>-53.97</v>
      </c>
      <c r="L58">
        <v>-53.97</v>
      </c>
      <c r="M58" s="33">
        <v>0</v>
      </c>
      <c r="N58" s="33">
        <v>0</v>
      </c>
      <c r="O58">
        <v>0</v>
      </c>
      <c r="P58" s="33">
        <v>-3.3E-3</v>
      </c>
      <c r="Q58" s="33">
        <v>-8.2400000000000001E-2</v>
      </c>
      <c r="R58" s="34">
        <v>3091.81</v>
      </c>
      <c r="S58" s="34">
        <v>56569000</v>
      </c>
      <c r="T58">
        <v>0.12</v>
      </c>
      <c r="U58" s="33">
        <v>0</v>
      </c>
    </row>
    <row r="59" spans="1:21" x14ac:dyDescent="0.25">
      <c r="A59" t="s">
        <v>340</v>
      </c>
      <c r="B59">
        <v>1.52</v>
      </c>
      <c r="C59">
        <v>-1.66</v>
      </c>
      <c r="D59">
        <v>0.14000000000000001</v>
      </c>
      <c r="E59">
        <v>0</v>
      </c>
      <c r="F59" s="33">
        <v>0</v>
      </c>
      <c r="G59">
        <v>4.1000000000000002E-2</v>
      </c>
      <c r="H59">
        <v>-0.22</v>
      </c>
      <c r="I59">
        <v>-12.69</v>
      </c>
      <c r="J59">
        <v>-0.06</v>
      </c>
      <c r="K59">
        <v>-23.74</v>
      </c>
      <c r="L59">
        <v>-23.74</v>
      </c>
      <c r="M59" s="33">
        <v>0</v>
      </c>
      <c r="N59" s="33">
        <v>0</v>
      </c>
      <c r="O59">
        <v>0</v>
      </c>
      <c r="P59" s="33">
        <v>-3.3E-3</v>
      </c>
      <c r="Q59" s="33">
        <v>-8.2400000000000001E-2</v>
      </c>
      <c r="R59" s="34">
        <v>10453.200000000001</v>
      </c>
      <c r="S59" s="34">
        <v>56569000</v>
      </c>
      <c r="T59">
        <v>0.12</v>
      </c>
      <c r="U59" s="33">
        <v>0</v>
      </c>
    </row>
    <row r="60" spans="1:21" x14ac:dyDescent="0.25">
      <c r="A60" t="s">
        <v>341</v>
      </c>
      <c r="B60">
        <v>32.5</v>
      </c>
      <c r="C60">
        <v>4.12</v>
      </c>
      <c r="D60">
        <v>1.8</v>
      </c>
      <c r="E60">
        <v>0</v>
      </c>
      <c r="F60" s="33">
        <v>6.2300000000000001E-2</v>
      </c>
      <c r="G60">
        <v>0</v>
      </c>
      <c r="H60">
        <v>0</v>
      </c>
      <c r="I60">
        <v>0</v>
      </c>
      <c r="J60">
        <v>0</v>
      </c>
      <c r="K60">
        <v>0</v>
      </c>
      <c r="L60">
        <v>0</v>
      </c>
      <c r="M60" s="33">
        <v>0</v>
      </c>
      <c r="N60" s="33">
        <v>0</v>
      </c>
      <c r="O60">
        <v>0</v>
      </c>
      <c r="P60" s="33">
        <v>0</v>
      </c>
      <c r="Q60" s="33">
        <v>0.43669999999999998</v>
      </c>
      <c r="R60" s="34">
        <v>24568.7</v>
      </c>
      <c r="S60" s="34">
        <v>1894930000</v>
      </c>
      <c r="T60">
        <v>0</v>
      </c>
      <c r="U60" s="33">
        <v>0.2278</v>
      </c>
    </row>
    <row r="61" spans="1:21" x14ac:dyDescent="0.25">
      <c r="A61" t="s">
        <v>92</v>
      </c>
      <c r="B61">
        <v>39</v>
      </c>
      <c r="C61">
        <v>4.9400000000000004</v>
      </c>
      <c r="D61">
        <v>2.16</v>
      </c>
      <c r="E61">
        <v>0</v>
      </c>
      <c r="F61" s="33">
        <v>5.7099999999999998E-2</v>
      </c>
      <c r="G61">
        <v>0</v>
      </c>
      <c r="H61">
        <v>0</v>
      </c>
      <c r="I61">
        <v>0</v>
      </c>
      <c r="J61">
        <v>0</v>
      </c>
      <c r="K61">
        <v>0</v>
      </c>
      <c r="L61">
        <v>0</v>
      </c>
      <c r="M61" s="33">
        <v>0</v>
      </c>
      <c r="N61" s="33">
        <v>0</v>
      </c>
      <c r="O61">
        <v>0</v>
      </c>
      <c r="P61" s="33">
        <v>0</v>
      </c>
      <c r="Q61" s="33">
        <v>0.43669999999999998</v>
      </c>
      <c r="R61" s="34">
        <v>524421</v>
      </c>
      <c r="S61" s="34">
        <v>1894930000</v>
      </c>
      <c r="T61">
        <v>0</v>
      </c>
      <c r="U61" s="33">
        <v>0.2278</v>
      </c>
    </row>
    <row r="62" spans="1:21" x14ac:dyDescent="0.25">
      <c r="A62" t="s">
        <v>46</v>
      </c>
      <c r="B62">
        <v>3.71</v>
      </c>
      <c r="C62">
        <v>4.91</v>
      </c>
      <c r="D62">
        <v>0.59</v>
      </c>
      <c r="E62">
        <v>0</v>
      </c>
      <c r="F62" s="33">
        <v>0.104</v>
      </c>
      <c r="G62">
        <v>0</v>
      </c>
      <c r="H62">
        <v>0</v>
      </c>
      <c r="I62">
        <v>0</v>
      </c>
      <c r="J62">
        <v>0</v>
      </c>
      <c r="K62">
        <v>0</v>
      </c>
      <c r="L62">
        <v>0</v>
      </c>
      <c r="M62" s="33">
        <v>0</v>
      </c>
      <c r="N62" s="33">
        <v>0</v>
      </c>
      <c r="O62">
        <v>0</v>
      </c>
      <c r="P62" s="33">
        <v>0</v>
      </c>
      <c r="Q62" s="33">
        <v>0.1207</v>
      </c>
      <c r="R62" s="34">
        <v>1715620</v>
      </c>
      <c r="S62" s="34">
        <v>3648070000</v>
      </c>
      <c r="T62">
        <v>0</v>
      </c>
      <c r="U62" s="33">
        <v>-4.4499999999999998E-2</v>
      </c>
    </row>
    <row r="63" spans="1:21" x14ac:dyDescent="0.25">
      <c r="A63" t="s">
        <v>342</v>
      </c>
      <c r="B63">
        <v>19.29</v>
      </c>
      <c r="C63">
        <v>11.22</v>
      </c>
      <c r="D63">
        <v>0.67</v>
      </c>
      <c r="E63">
        <v>0</v>
      </c>
      <c r="F63" s="33">
        <v>1.83E-2</v>
      </c>
      <c r="G63">
        <v>0</v>
      </c>
      <c r="H63">
        <v>0</v>
      </c>
      <c r="I63">
        <v>0</v>
      </c>
      <c r="J63">
        <v>0</v>
      </c>
      <c r="K63">
        <v>0</v>
      </c>
      <c r="L63">
        <v>0</v>
      </c>
      <c r="M63" s="33">
        <v>0</v>
      </c>
      <c r="N63" s="33">
        <v>0</v>
      </c>
      <c r="O63">
        <v>0</v>
      </c>
      <c r="P63" s="33">
        <v>0</v>
      </c>
      <c r="Q63" s="33">
        <v>5.9400000000000001E-2</v>
      </c>
      <c r="R63" s="34">
        <v>271.58999999999997</v>
      </c>
      <c r="S63" s="34">
        <v>139754000</v>
      </c>
      <c r="T63">
        <v>0</v>
      </c>
      <c r="U63" s="33">
        <v>0.17380000000000001</v>
      </c>
    </row>
    <row r="64" spans="1:21" x14ac:dyDescent="0.25">
      <c r="A64" t="s">
        <v>343</v>
      </c>
      <c r="B64">
        <v>16.63</v>
      </c>
      <c r="C64">
        <v>9.67</v>
      </c>
      <c r="D64">
        <v>0.56999999999999995</v>
      </c>
      <c r="E64">
        <v>0</v>
      </c>
      <c r="F64" s="33">
        <v>8.4199999999999997E-2</v>
      </c>
      <c r="G64">
        <v>0</v>
      </c>
      <c r="H64">
        <v>0</v>
      </c>
      <c r="I64">
        <v>0</v>
      </c>
      <c r="J64">
        <v>0</v>
      </c>
      <c r="K64">
        <v>0</v>
      </c>
      <c r="L64">
        <v>0</v>
      </c>
      <c r="M64" s="33">
        <v>0</v>
      </c>
      <c r="N64" s="33">
        <v>0</v>
      </c>
      <c r="O64">
        <v>0</v>
      </c>
      <c r="P64" s="33">
        <v>0</v>
      </c>
      <c r="Q64" s="33">
        <v>5.9400000000000001E-2</v>
      </c>
      <c r="R64" s="34">
        <v>2409.59</v>
      </c>
      <c r="S64" s="34">
        <v>139754000</v>
      </c>
      <c r="T64">
        <v>0</v>
      </c>
      <c r="U64" s="33">
        <v>0.17380000000000001</v>
      </c>
    </row>
    <row r="65" spans="1:21" x14ac:dyDescent="0.25">
      <c r="A65" t="s">
        <v>344</v>
      </c>
      <c r="B65">
        <v>399</v>
      </c>
      <c r="C65">
        <v>12.05</v>
      </c>
      <c r="D65">
        <v>0.88</v>
      </c>
      <c r="E65">
        <v>11.59</v>
      </c>
      <c r="F65" s="33">
        <v>8.3000000000000004E-2</v>
      </c>
      <c r="G65">
        <v>0.76400000000000001</v>
      </c>
      <c r="H65">
        <v>1.05</v>
      </c>
      <c r="I65">
        <v>-35.9</v>
      </c>
      <c r="J65">
        <v>1.2</v>
      </c>
      <c r="K65">
        <v>-3.49</v>
      </c>
      <c r="L65">
        <v>-3.58</v>
      </c>
      <c r="M65" s="33">
        <v>-0.32279999999999998</v>
      </c>
      <c r="N65" s="33">
        <v>0.96220000000000006</v>
      </c>
      <c r="O65">
        <v>20.54</v>
      </c>
      <c r="P65" s="33">
        <v>-7.3800000000000004E-2</v>
      </c>
      <c r="Q65" s="33">
        <v>7.2900000000000006E-2</v>
      </c>
      <c r="R65" s="34">
        <v>24606.6</v>
      </c>
      <c r="S65" s="34">
        <v>206593000</v>
      </c>
      <c r="T65">
        <v>0.02</v>
      </c>
      <c r="U65" s="33">
        <v>-8.5099999999999995E-2</v>
      </c>
    </row>
    <row r="66" spans="1:21" x14ac:dyDescent="0.25">
      <c r="A66" t="s">
        <v>25</v>
      </c>
      <c r="B66">
        <v>20.04</v>
      </c>
      <c r="C66">
        <v>13.32</v>
      </c>
      <c r="D66">
        <v>1.47</v>
      </c>
      <c r="E66">
        <v>1.119</v>
      </c>
      <c r="F66" s="33">
        <v>6.6799999999999998E-2</v>
      </c>
      <c r="G66">
        <v>1.054</v>
      </c>
      <c r="H66">
        <v>2.5499999999999998</v>
      </c>
      <c r="I66">
        <v>13.9</v>
      </c>
      <c r="J66">
        <v>2.77</v>
      </c>
      <c r="K66">
        <v>9.68</v>
      </c>
      <c r="L66">
        <v>6.25</v>
      </c>
      <c r="M66" s="33">
        <v>8.0500000000000002E-2</v>
      </c>
      <c r="N66" s="33">
        <v>8.4500000000000006E-2</v>
      </c>
      <c r="O66">
        <v>2.65</v>
      </c>
      <c r="P66" s="33">
        <v>0.12670000000000001</v>
      </c>
      <c r="Q66" s="33">
        <v>0.11070000000000001</v>
      </c>
      <c r="R66" s="34">
        <v>5536900</v>
      </c>
      <c r="S66" s="34">
        <v>1163230000</v>
      </c>
      <c r="T66">
        <v>0</v>
      </c>
      <c r="U66" s="33">
        <v>0.58779999999999999</v>
      </c>
    </row>
    <row r="67" spans="1:21" x14ac:dyDescent="0.25">
      <c r="A67" t="s">
        <v>345</v>
      </c>
      <c r="B67">
        <v>99</v>
      </c>
      <c r="C67">
        <v>4.4800000000000004</v>
      </c>
      <c r="D67">
        <v>0.69</v>
      </c>
      <c r="E67">
        <v>0</v>
      </c>
      <c r="F67" s="33">
        <v>5.7700000000000001E-2</v>
      </c>
      <c r="G67">
        <v>0</v>
      </c>
      <c r="H67">
        <v>0</v>
      </c>
      <c r="I67">
        <v>0</v>
      </c>
      <c r="J67">
        <v>0</v>
      </c>
      <c r="K67">
        <v>0</v>
      </c>
      <c r="L67">
        <v>0</v>
      </c>
      <c r="M67" s="33">
        <v>0</v>
      </c>
      <c r="N67" s="33">
        <v>0</v>
      </c>
      <c r="O67">
        <v>0</v>
      </c>
      <c r="P67" s="33">
        <v>0</v>
      </c>
      <c r="Q67" s="33">
        <v>0.1547</v>
      </c>
      <c r="R67" s="34">
        <v>15849.2</v>
      </c>
      <c r="S67" s="34">
        <v>14115100000</v>
      </c>
      <c r="T67">
        <v>0</v>
      </c>
      <c r="U67" s="33">
        <v>0.1033</v>
      </c>
    </row>
    <row r="68" spans="1:21" x14ac:dyDescent="0.25">
      <c r="A68" t="s">
        <v>185</v>
      </c>
      <c r="B68">
        <v>1.58</v>
      </c>
      <c r="C68">
        <v>5.65</v>
      </c>
      <c r="D68">
        <v>436.02</v>
      </c>
      <c r="E68">
        <v>0.26700000000000002</v>
      </c>
      <c r="F68" s="33">
        <v>0</v>
      </c>
      <c r="G68">
        <v>0.44600000000000001</v>
      </c>
      <c r="H68">
        <v>-24.38</v>
      </c>
      <c r="I68">
        <v>2.02</v>
      </c>
      <c r="J68">
        <v>-0.97</v>
      </c>
      <c r="K68">
        <v>3.3</v>
      </c>
      <c r="L68">
        <v>2.91</v>
      </c>
      <c r="M68" s="33">
        <v>0.13239999999999999</v>
      </c>
      <c r="N68" s="33">
        <v>4.7300000000000002E-2</v>
      </c>
      <c r="O68">
        <v>0.97</v>
      </c>
      <c r="P68" s="33">
        <v>0.33329999999999999</v>
      </c>
      <c r="Q68" s="33">
        <v>77.215000000000003</v>
      </c>
      <c r="R68" s="34">
        <v>54529.2</v>
      </c>
      <c r="S68" s="34">
        <v>944000</v>
      </c>
      <c r="T68">
        <v>400.27</v>
      </c>
      <c r="U68" s="33">
        <v>0.1055</v>
      </c>
    </row>
    <row r="69" spans="1:21" x14ac:dyDescent="0.25">
      <c r="A69" t="s">
        <v>346</v>
      </c>
      <c r="B69">
        <v>40.200000000000003</v>
      </c>
      <c r="C69">
        <v>12.61</v>
      </c>
      <c r="D69">
        <v>2.58</v>
      </c>
      <c r="E69">
        <v>0</v>
      </c>
      <c r="F69" s="33">
        <v>2.1399999999999999E-2</v>
      </c>
      <c r="G69">
        <v>0</v>
      </c>
      <c r="H69">
        <v>0</v>
      </c>
      <c r="I69">
        <v>0</v>
      </c>
      <c r="J69">
        <v>0</v>
      </c>
      <c r="K69">
        <v>0</v>
      </c>
      <c r="L69">
        <v>0</v>
      </c>
      <c r="M69" s="33">
        <v>0</v>
      </c>
      <c r="N69" s="33">
        <v>0</v>
      </c>
      <c r="O69">
        <v>0</v>
      </c>
      <c r="P69" s="33">
        <v>0</v>
      </c>
      <c r="Q69" s="33">
        <v>0.20449999999999999</v>
      </c>
      <c r="R69" s="34">
        <v>306562000</v>
      </c>
      <c r="S69" s="34">
        <v>59778600000</v>
      </c>
      <c r="T69">
        <v>0</v>
      </c>
      <c r="U69" s="33">
        <v>0.31590000000000001</v>
      </c>
    </row>
    <row r="70" spans="1:21" x14ac:dyDescent="0.25">
      <c r="A70" t="s">
        <v>141</v>
      </c>
      <c r="B70">
        <v>22.47</v>
      </c>
      <c r="C70">
        <v>21.15</v>
      </c>
      <c r="D70">
        <v>4.33</v>
      </c>
      <c r="E70">
        <v>0</v>
      </c>
      <c r="F70" s="33">
        <v>1.2699999999999999E-2</v>
      </c>
      <c r="G70">
        <v>0</v>
      </c>
      <c r="H70">
        <v>0</v>
      </c>
      <c r="I70">
        <v>0</v>
      </c>
      <c r="J70">
        <v>0</v>
      </c>
      <c r="K70">
        <v>0</v>
      </c>
      <c r="L70">
        <v>0</v>
      </c>
      <c r="M70" s="33">
        <v>0</v>
      </c>
      <c r="N70" s="33">
        <v>0</v>
      </c>
      <c r="O70">
        <v>0</v>
      </c>
      <c r="P70" s="33">
        <v>0</v>
      </c>
      <c r="Q70" s="33">
        <v>0.20449999999999999</v>
      </c>
      <c r="R70" s="34">
        <v>129227</v>
      </c>
      <c r="S70" s="34">
        <v>59778600000</v>
      </c>
      <c r="T70">
        <v>0</v>
      </c>
      <c r="U70" s="33">
        <v>0.31590000000000001</v>
      </c>
    </row>
    <row r="71" spans="1:21" x14ac:dyDescent="0.25">
      <c r="A71" t="s">
        <v>148</v>
      </c>
      <c r="B71">
        <v>8.74</v>
      </c>
      <c r="C71">
        <v>8.23</v>
      </c>
      <c r="D71">
        <v>1.68</v>
      </c>
      <c r="E71">
        <v>0</v>
      </c>
      <c r="F71" s="33">
        <v>3.27E-2</v>
      </c>
      <c r="G71">
        <v>0</v>
      </c>
      <c r="H71">
        <v>0</v>
      </c>
      <c r="I71">
        <v>0</v>
      </c>
      <c r="J71">
        <v>0</v>
      </c>
      <c r="K71">
        <v>0</v>
      </c>
      <c r="L71">
        <v>0</v>
      </c>
      <c r="M71" s="33">
        <v>0</v>
      </c>
      <c r="N71" s="33">
        <v>0</v>
      </c>
      <c r="O71">
        <v>0</v>
      </c>
      <c r="P71" s="33">
        <v>0</v>
      </c>
      <c r="Q71" s="33">
        <v>0.20449999999999999</v>
      </c>
      <c r="R71" s="34">
        <v>60408.4</v>
      </c>
      <c r="S71" s="34">
        <v>59778600000</v>
      </c>
      <c r="T71">
        <v>0</v>
      </c>
      <c r="U71" s="33">
        <v>0.31590000000000001</v>
      </c>
    </row>
    <row r="72" spans="1:21" x14ac:dyDescent="0.25">
      <c r="A72" t="s">
        <v>76</v>
      </c>
      <c r="B72">
        <v>8.44</v>
      </c>
      <c r="C72">
        <v>13.67</v>
      </c>
      <c r="D72">
        <v>1.41</v>
      </c>
      <c r="E72">
        <v>0</v>
      </c>
      <c r="F72" s="33">
        <v>2.86E-2</v>
      </c>
      <c r="G72">
        <v>0</v>
      </c>
      <c r="H72">
        <v>0</v>
      </c>
      <c r="I72">
        <v>0</v>
      </c>
      <c r="J72">
        <v>0</v>
      </c>
      <c r="K72">
        <v>0</v>
      </c>
      <c r="L72">
        <v>0</v>
      </c>
      <c r="M72" s="33">
        <v>0</v>
      </c>
      <c r="N72" s="33">
        <v>0</v>
      </c>
      <c r="O72">
        <v>0</v>
      </c>
      <c r="P72" s="33">
        <v>0</v>
      </c>
      <c r="Q72" s="33">
        <v>0.10340000000000001</v>
      </c>
      <c r="R72" s="34">
        <v>14120300</v>
      </c>
      <c r="S72" s="34">
        <v>7575030000</v>
      </c>
      <c r="T72">
        <v>0</v>
      </c>
      <c r="U72" s="33">
        <v>3.8699999999999998E-2</v>
      </c>
    </row>
    <row r="73" spans="1:21" x14ac:dyDescent="0.25">
      <c r="A73" t="s">
        <v>28</v>
      </c>
      <c r="B73">
        <v>14.76</v>
      </c>
      <c r="C73">
        <v>4.97</v>
      </c>
      <c r="D73">
        <v>0.67</v>
      </c>
      <c r="E73">
        <v>0</v>
      </c>
      <c r="F73" s="33">
        <v>0.1249</v>
      </c>
      <c r="G73">
        <v>0.66</v>
      </c>
      <c r="H73">
        <v>9.84</v>
      </c>
      <c r="I73">
        <v>-195.25</v>
      </c>
      <c r="J73">
        <v>9.91</v>
      </c>
      <c r="K73">
        <v>-171.32</v>
      </c>
      <c r="L73">
        <v>-171.32</v>
      </c>
      <c r="M73" s="33">
        <v>0</v>
      </c>
      <c r="N73" s="33">
        <v>0</v>
      </c>
      <c r="O73">
        <v>5.83</v>
      </c>
      <c r="P73" s="33">
        <v>-3.7000000000000002E-3</v>
      </c>
      <c r="Q73" s="33">
        <v>0.13469999999999999</v>
      </c>
      <c r="R73" s="34">
        <v>1293220</v>
      </c>
      <c r="S73" s="34">
        <v>8667970000</v>
      </c>
      <c r="T73">
        <v>0</v>
      </c>
      <c r="U73" s="33">
        <v>0</v>
      </c>
    </row>
    <row r="74" spans="1:21" x14ac:dyDescent="0.25">
      <c r="A74" t="s">
        <v>127</v>
      </c>
      <c r="B74">
        <v>15.74</v>
      </c>
      <c r="C74">
        <v>5.3</v>
      </c>
      <c r="D74">
        <v>0.71</v>
      </c>
      <c r="E74">
        <v>0</v>
      </c>
      <c r="F74" s="33">
        <v>0.12889999999999999</v>
      </c>
      <c r="G74">
        <v>0.70399999999999996</v>
      </c>
      <c r="H74">
        <v>10.49</v>
      </c>
      <c r="I74">
        <v>-208.22</v>
      </c>
      <c r="J74">
        <v>10.57</v>
      </c>
      <c r="K74">
        <v>-184.28</v>
      </c>
      <c r="L74">
        <v>-184.28</v>
      </c>
      <c r="M74" s="33">
        <v>0</v>
      </c>
      <c r="N74" s="33">
        <v>0</v>
      </c>
      <c r="O74">
        <v>5.83</v>
      </c>
      <c r="P74" s="33">
        <v>-3.7000000000000002E-3</v>
      </c>
      <c r="Q74" s="33">
        <v>0.13469999999999999</v>
      </c>
      <c r="R74" s="34">
        <v>77952200</v>
      </c>
      <c r="S74" s="34">
        <v>8667970000</v>
      </c>
      <c r="T74">
        <v>0</v>
      </c>
      <c r="U74" s="33">
        <v>0</v>
      </c>
    </row>
    <row r="75" spans="1:21" x14ac:dyDescent="0.25">
      <c r="A75" t="s">
        <v>61</v>
      </c>
      <c r="B75">
        <v>19.329999999999998</v>
      </c>
      <c r="C75">
        <v>57.85</v>
      </c>
      <c r="D75">
        <v>0.8</v>
      </c>
      <c r="E75">
        <v>0.93500000000000005</v>
      </c>
      <c r="F75" s="33">
        <v>0</v>
      </c>
      <c r="G75">
        <v>0.20799999999999999</v>
      </c>
      <c r="H75">
        <v>4.34</v>
      </c>
      <c r="I75">
        <v>4.6399999999999997</v>
      </c>
      <c r="J75">
        <v>-0.36</v>
      </c>
      <c r="K75">
        <v>11.52</v>
      </c>
      <c r="L75">
        <v>6.51</v>
      </c>
      <c r="M75" s="33">
        <v>0.20169999999999999</v>
      </c>
      <c r="N75" s="33">
        <v>1.5599999999999999E-2</v>
      </c>
      <c r="O75">
        <v>1.4</v>
      </c>
      <c r="P75" s="33">
        <v>5.3100000000000001E-2</v>
      </c>
      <c r="Q75" s="33">
        <v>1.3899999999999999E-2</v>
      </c>
      <c r="R75" s="34">
        <v>187665000</v>
      </c>
      <c r="S75" s="34">
        <v>11151200000</v>
      </c>
      <c r="T75">
        <v>1.59</v>
      </c>
      <c r="U75" s="33">
        <v>1.2646999999999999</v>
      </c>
    </row>
    <row r="76" spans="1:21" x14ac:dyDescent="0.25">
      <c r="A76" t="s">
        <v>347</v>
      </c>
      <c r="B76">
        <v>15.24</v>
      </c>
      <c r="C76">
        <v>8.5399999999999991</v>
      </c>
      <c r="D76">
        <v>2.0099999999999998</v>
      </c>
      <c r="E76">
        <v>4.3609999999999998</v>
      </c>
      <c r="F76" s="33">
        <v>0.13189999999999999</v>
      </c>
      <c r="G76">
        <v>0.104</v>
      </c>
      <c r="H76">
        <v>2.52</v>
      </c>
      <c r="I76">
        <v>75.25</v>
      </c>
      <c r="J76">
        <v>2.52</v>
      </c>
      <c r="K76">
        <v>21.8</v>
      </c>
      <c r="L76">
        <v>15.18</v>
      </c>
      <c r="M76" s="33">
        <v>5.8000000000000003E-2</v>
      </c>
      <c r="N76" s="33">
        <v>0.51049999999999995</v>
      </c>
      <c r="O76">
        <v>1.04</v>
      </c>
      <c r="P76" s="33">
        <v>0.1241</v>
      </c>
      <c r="Q76" s="33">
        <v>0.23530000000000001</v>
      </c>
      <c r="R76" s="34">
        <v>4133980</v>
      </c>
      <c r="S76" s="34">
        <v>796079000</v>
      </c>
      <c r="T76">
        <v>17.75</v>
      </c>
      <c r="U76" s="33">
        <v>-0.2029</v>
      </c>
    </row>
    <row r="77" spans="1:21" x14ac:dyDescent="0.25">
      <c r="A77" t="s">
        <v>135</v>
      </c>
      <c r="B77">
        <v>20.5</v>
      </c>
      <c r="C77">
        <v>9</v>
      </c>
      <c r="D77">
        <v>2.15</v>
      </c>
      <c r="E77">
        <v>0.54300000000000004</v>
      </c>
      <c r="F77" s="33">
        <v>3.44E-2</v>
      </c>
      <c r="G77">
        <v>0.54800000000000004</v>
      </c>
      <c r="H77">
        <v>3.49</v>
      </c>
      <c r="I77">
        <v>4.6399999999999997</v>
      </c>
      <c r="J77">
        <v>-2.4500000000000002</v>
      </c>
      <c r="K77">
        <v>5.57</v>
      </c>
      <c r="L77">
        <v>3.78</v>
      </c>
      <c r="M77" s="33">
        <v>0.1171</v>
      </c>
      <c r="N77" s="33">
        <v>6.7400000000000002E-2</v>
      </c>
      <c r="O77">
        <v>1.46</v>
      </c>
      <c r="P77" s="33">
        <v>0.21329999999999999</v>
      </c>
      <c r="Q77" s="33">
        <v>0.2389</v>
      </c>
      <c r="R77" s="34">
        <v>190251000</v>
      </c>
      <c r="S77" s="34">
        <v>16044400000</v>
      </c>
      <c r="T77">
        <v>1.24</v>
      </c>
      <c r="U77" s="33">
        <v>9.9400000000000002E-2</v>
      </c>
    </row>
    <row r="78" spans="1:21" x14ac:dyDescent="0.25">
      <c r="A78" t="s">
        <v>247</v>
      </c>
      <c r="B78">
        <v>11.02</v>
      </c>
      <c r="C78">
        <v>-0.95</v>
      </c>
      <c r="D78">
        <v>-2.0699999999999998</v>
      </c>
      <c r="E78">
        <v>0.111</v>
      </c>
      <c r="F78" s="33">
        <v>0</v>
      </c>
      <c r="G78">
        <v>9.1999999999999998E-2</v>
      </c>
      <c r="H78">
        <v>1.07</v>
      </c>
      <c r="I78">
        <v>9.6300000000000008</v>
      </c>
      <c r="J78">
        <v>-0.13</v>
      </c>
      <c r="K78">
        <v>49.23</v>
      </c>
      <c r="L78">
        <v>7.71</v>
      </c>
      <c r="M78" s="33">
        <v>1.1599999999999999E-2</v>
      </c>
      <c r="N78" s="33">
        <v>-0.127</v>
      </c>
      <c r="O78">
        <v>1.32</v>
      </c>
      <c r="P78" s="33">
        <v>1.37E-2</v>
      </c>
      <c r="Q78" s="33">
        <v>2.19</v>
      </c>
      <c r="R78" s="34">
        <v>380265</v>
      </c>
      <c r="S78" s="34">
        <v>-4236000000</v>
      </c>
      <c r="T78">
        <v>-11.6</v>
      </c>
      <c r="U78" s="33">
        <v>-1.7999999999999999E-2</v>
      </c>
    </row>
    <row r="79" spans="1:21" x14ac:dyDescent="0.25">
      <c r="A79" t="s">
        <v>348</v>
      </c>
      <c r="B79">
        <v>10.44</v>
      </c>
      <c r="C79">
        <v>-0.9</v>
      </c>
      <c r="D79">
        <v>-1.96</v>
      </c>
      <c r="E79">
        <v>0.105</v>
      </c>
      <c r="F79" s="33">
        <v>0</v>
      </c>
      <c r="G79">
        <v>8.6999999999999994E-2</v>
      </c>
      <c r="H79">
        <v>1.01</v>
      </c>
      <c r="I79">
        <v>9.1300000000000008</v>
      </c>
      <c r="J79">
        <v>-0.13</v>
      </c>
      <c r="K79">
        <v>48.72</v>
      </c>
      <c r="L79">
        <v>7.63</v>
      </c>
      <c r="M79" s="33">
        <v>1.1599999999999999E-2</v>
      </c>
      <c r="N79" s="33">
        <v>-0.127</v>
      </c>
      <c r="O79">
        <v>1.32</v>
      </c>
      <c r="P79" s="33">
        <v>1.37E-2</v>
      </c>
      <c r="Q79" s="33">
        <v>2.19</v>
      </c>
      <c r="R79" s="34">
        <v>44703300</v>
      </c>
      <c r="S79" s="34">
        <v>-4236000000</v>
      </c>
      <c r="T79">
        <v>-11.6</v>
      </c>
      <c r="U79" s="33">
        <v>-1.7999999999999999E-2</v>
      </c>
    </row>
    <row r="80" spans="1:21" x14ac:dyDescent="0.25">
      <c r="A80" t="s">
        <v>349</v>
      </c>
      <c r="B80">
        <v>8</v>
      </c>
      <c r="C80">
        <v>-0.69</v>
      </c>
      <c r="D80">
        <v>-1.51</v>
      </c>
      <c r="E80">
        <v>8.1000000000000003E-2</v>
      </c>
      <c r="F80" s="33">
        <v>0</v>
      </c>
      <c r="G80">
        <v>6.7000000000000004E-2</v>
      </c>
      <c r="H80">
        <v>0.78</v>
      </c>
      <c r="I80">
        <v>6.99</v>
      </c>
      <c r="J80">
        <v>-0.1</v>
      </c>
      <c r="K80">
        <v>46.59</v>
      </c>
      <c r="L80">
        <v>7.3</v>
      </c>
      <c r="M80" s="33">
        <v>1.1599999999999999E-2</v>
      </c>
      <c r="N80" s="33">
        <v>-0.127</v>
      </c>
      <c r="O80">
        <v>1.32</v>
      </c>
      <c r="P80" s="33">
        <v>1.37E-2</v>
      </c>
      <c r="Q80" s="33">
        <v>2.19</v>
      </c>
      <c r="R80" s="34">
        <v>473.78</v>
      </c>
      <c r="S80" s="34">
        <v>-4236000000</v>
      </c>
      <c r="T80">
        <v>-11.6</v>
      </c>
      <c r="U80" s="33">
        <v>-1.7999999999999999E-2</v>
      </c>
    </row>
    <row r="81" spans="1:21" x14ac:dyDescent="0.25">
      <c r="A81" t="s">
        <v>350</v>
      </c>
      <c r="B81">
        <v>12.4</v>
      </c>
      <c r="C81">
        <v>5.23</v>
      </c>
      <c r="D81">
        <v>0.49</v>
      </c>
      <c r="E81">
        <v>0</v>
      </c>
      <c r="F81" s="33">
        <v>8.0399999999999999E-2</v>
      </c>
      <c r="G81">
        <v>0</v>
      </c>
      <c r="H81">
        <v>0</v>
      </c>
      <c r="I81">
        <v>0</v>
      </c>
      <c r="J81">
        <v>0</v>
      </c>
      <c r="K81">
        <v>0</v>
      </c>
      <c r="L81">
        <v>0</v>
      </c>
      <c r="M81" s="33">
        <v>0</v>
      </c>
      <c r="N81" s="33">
        <v>0</v>
      </c>
      <c r="O81">
        <v>0</v>
      </c>
      <c r="P81" s="33">
        <v>0</v>
      </c>
      <c r="Q81" s="33">
        <v>9.3100000000000002E-2</v>
      </c>
      <c r="R81" s="34">
        <v>66125.3</v>
      </c>
      <c r="S81" s="34">
        <v>10409200000</v>
      </c>
      <c r="T81">
        <v>0</v>
      </c>
      <c r="U81" s="33">
        <v>4.7E-2</v>
      </c>
    </row>
    <row r="82" spans="1:21" x14ac:dyDescent="0.25">
      <c r="A82" t="s">
        <v>351</v>
      </c>
      <c r="B82">
        <v>15.31</v>
      </c>
      <c r="C82">
        <v>6.46</v>
      </c>
      <c r="D82">
        <v>0.6</v>
      </c>
      <c r="E82">
        <v>0</v>
      </c>
      <c r="F82" s="33">
        <v>8.3000000000000004E-2</v>
      </c>
      <c r="G82">
        <v>0</v>
      </c>
      <c r="H82">
        <v>0</v>
      </c>
      <c r="I82">
        <v>0</v>
      </c>
      <c r="J82">
        <v>0</v>
      </c>
      <c r="K82">
        <v>0</v>
      </c>
      <c r="L82">
        <v>0</v>
      </c>
      <c r="M82" s="33">
        <v>0</v>
      </c>
      <c r="N82" s="33">
        <v>0</v>
      </c>
      <c r="O82">
        <v>0</v>
      </c>
      <c r="P82" s="33">
        <v>0</v>
      </c>
      <c r="Q82" s="33">
        <v>9.3100000000000002E-2</v>
      </c>
      <c r="R82" s="34">
        <v>4002.32</v>
      </c>
      <c r="S82" s="34">
        <v>10409200000</v>
      </c>
      <c r="T82">
        <v>0</v>
      </c>
      <c r="U82" s="33">
        <v>4.7E-2</v>
      </c>
    </row>
    <row r="83" spans="1:21" x14ac:dyDescent="0.25">
      <c r="A83" t="s">
        <v>37</v>
      </c>
      <c r="B83">
        <v>11.79</v>
      </c>
      <c r="C83">
        <v>4.97</v>
      </c>
      <c r="D83">
        <v>0.46</v>
      </c>
      <c r="E83">
        <v>0</v>
      </c>
      <c r="F83" s="33">
        <v>8.4500000000000006E-2</v>
      </c>
      <c r="G83">
        <v>0</v>
      </c>
      <c r="H83">
        <v>0</v>
      </c>
      <c r="I83">
        <v>0</v>
      </c>
      <c r="J83">
        <v>0</v>
      </c>
      <c r="K83">
        <v>0</v>
      </c>
      <c r="L83">
        <v>0</v>
      </c>
      <c r="M83" s="33">
        <v>0</v>
      </c>
      <c r="N83" s="33">
        <v>0</v>
      </c>
      <c r="O83">
        <v>0</v>
      </c>
      <c r="P83" s="33">
        <v>0</v>
      </c>
      <c r="Q83" s="33">
        <v>9.3100000000000002E-2</v>
      </c>
      <c r="R83" s="34">
        <v>14945300</v>
      </c>
      <c r="S83" s="34">
        <v>10409200000</v>
      </c>
      <c r="T83">
        <v>0</v>
      </c>
      <c r="U83" s="33">
        <v>4.7E-2</v>
      </c>
    </row>
    <row r="84" spans="1:21" x14ac:dyDescent="0.25">
      <c r="A84" t="s">
        <v>352</v>
      </c>
      <c r="B84">
        <v>2.86</v>
      </c>
      <c r="C84">
        <v>20.79</v>
      </c>
      <c r="D84">
        <v>0.81</v>
      </c>
      <c r="E84">
        <v>0.84399999999999997</v>
      </c>
      <c r="F84" s="33">
        <v>1.44E-2</v>
      </c>
      <c r="G84">
        <v>0.30599999999999999</v>
      </c>
      <c r="H84">
        <v>-9.2100000000000009</v>
      </c>
      <c r="I84">
        <v>6.55</v>
      </c>
      <c r="J84">
        <v>-0.69</v>
      </c>
      <c r="K84">
        <v>14.02</v>
      </c>
      <c r="L84">
        <v>4.2699999999999996</v>
      </c>
      <c r="M84" s="33">
        <v>0.1288</v>
      </c>
      <c r="N84" s="33">
        <v>4.0599999999999997E-2</v>
      </c>
      <c r="O84">
        <v>0.84</v>
      </c>
      <c r="P84" s="33">
        <v>5.6599999999999998E-2</v>
      </c>
      <c r="Q84" s="33">
        <v>3.9199999999999999E-2</v>
      </c>
      <c r="R84" s="34">
        <v>632965</v>
      </c>
      <c r="S84" s="34">
        <v>1537560000</v>
      </c>
      <c r="T84">
        <v>1.23</v>
      </c>
      <c r="U84" s="33">
        <v>0</v>
      </c>
    </row>
    <row r="85" spans="1:21" x14ac:dyDescent="0.25">
      <c r="A85" t="s">
        <v>353</v>
      </c>
      <c r="B85">
        <v>7.8</v>
      </c>
      <c r="C85">
        <v>19.38</v>
      </c>
      <c r="D85">
        <v>1.03</v>
      </c>
      <c r="E85">
        <v>0</v>
      </c>
      <c r="F85" s="33">
        <v>0.48249999999999998</v>
      </c>
      <c r="G85">
        <v>0</v>
      </c>
      <c r="H85">
        <v>0</v>
      </c>
      <c r="I85">
        <v>0</v>
      </c>
      <c r="J85">
        <v>0</v>
      </c>
      <c r="K85">
        <v>0</v>
      </c>
      <c r="L85">
        <v>0</v>
      </c>
      <c r="M85" s="33">
        <v>0</v>
      </c>
      <c r="N85" s="33">
        <v>0</v>
      </c>
      <c r="O85">
        <v>0</v>
      </c>
      <c r="P85" s="33">
        <v>0</v>
      </c>
      <c r="Q85" s="33">
        <v>5.3100000000000001E-2</v>
      </c>
      <c r="R85" s="34">
        <v>74538.5</v>
      </c>
      <c r="S85" s="34">
        <v>3687330000</v>
      </c>
      <c r="T85">
        <v>0</v>
      </c>
      <c r="U85" s="33">
        <v>0.1065</v>
      </c>
    </row>
    <row r="86" spans="1:21" x14ac:dyDescent="0.25">
      <c r="A86" t="s">
        <v>354</v>
      </c>
      <c r="B86">
        <v>7.81</v>
      </c>
      <c r="C86">
        <v>19.399999999999999</v>
      </c>
      <c r="D86">
        <v>1.03</v>
      </c>
      <c r="E86">
        <v>0</v>
      </c>
      <c r="F86" s="33">
        <v>0.53010000000000002</v>
      </c>
      <c r="G86">
        <v>0</v>
      </c>
      <c r="H86">
        <v>0</v>
      </c>
      <c r="I86">
        <v>0</v>
      </c>
      <c r="J86">
        <v>0</v>
      </c>
      <c r="K86">
        <v>0</v>
      </c>
      <c r="L86">
        <v>0</v>
      </c>
      <c r="M86" s="33">
        <v>0</v>
      </c>
      <c r="N86" s="33">
        <v>0</v>
      </c>
      <c r="O86">
        <v>0</v>
      </c>
      <c r="P86" s="33">
        <v>0</v>
      </c>
      <c r="Q86" s="33">
        <v>5.3100000000000001E-2</v>
      </c>
      <c r="R86" s="34">
        <v>55051.5</v>
      </c>
      <c r="S86" s="34">
        <v>3687330000</v>
      </c>
      <c r="T86">
        <v>0</v>
      </c>
      <c r="U86" s="33">
        <v>0.1065</v>
      </c>
    </row>
    <row r="87" spans="1:21" x14ac:dyDescent="0.25">
      <c r="A87" t="s">
        <v>27</v>
      </c>
      <c r="B87">
        <v>9.6</v>
      </c>
      <c r="C87">
        <v>5.42</v>
      </c>
      <c r="D87">
        <v>1.37</v>
      </c>
      <c r="E87">
        <v>0.95299999999999996</v>
      </c>
      <c r="F87" s="33">
        <v>9.0399999999999994E-2</v>
      </c>
      <c r="G87">
        <v>1.069</v>
      </c>
      <c r="H87">
        <v>3.19</v>
      </c>
      <c r="I87">
        <v>4.66</v>
      </c>
      <c r="J87">
        <v>3.86</v>
      </c>
      <c r="K87">
        <v>4.1399999999999997</v>
      </c>
      <c r="L87">
        <v>3.57</v>
      </c>
      <c r="M87" s="33">
        <v>0.20469999999999999</v>
      </c>
      <c r="N87" s="33">
        <v>0.1759</v>
      </c>
      <c r="O87">
        <v>3.09</v>
      </c>
      <c r="P87" s="33">
        <v>0.27610000000000001</v>
      </c>
      <c r="Q87" s="33">
        <v>0.2525</v>
      </c>
      <c r="R87" s="34">
        <v>406430</v>
      </c>
      <c r="S87" s="34">
        <v>296523000</v>
      </c>
      <c r="T87">
        <v>0.01</v>
      </c>
      <c r="U87" s="33">
        <v>0.30299999999999999</v>
      </c>
    </row>
    <row r="88" spans="1:21" x14ac:dyDescent="0.25">
      <c r="A88" t="s">
        <v>251</v>
      </c>
      <c r="B88">
        <v>4.71</v>
      </c>
      <c r="C88">
        <v>7.6</v>
      </c>
      <c r="D88">
        <v>0.48</v>
      </c>
      <c r="E88">
        <v>0.13400000000000001</v>
      </c>
      <c r="F88" s="33">
        <v>4.6699999999999998E-2</v>
      </c>
      <c r="G88">
        <v>0.14799999999999999</v>
      </c>
      <c r="H88">
        <v>0.68</v>
      </c>
      <c r="I88">
        <v>2.81</v>
      </c>
      <c r="J88">
        <v>-1.1499999999999999</v>
      </c>
      <c r="K88">
        <v>7.89</v>
      </c>
      <c r="L88">
        <v>5.43</v>
      </c>
      <c r="M88" s="33">
        <v>4.7899999999999998E-2</v>
      </c>
      <c r="N88" s="33">
        <v>1.77E-2</v>
      </c>
      <c r="O88">
        <v>1.64</v>
      </c>
      <c r="P88" s="33">
        <v>8.0500000000000002E-2</v>
      </c>
      <c r="Q88" s="33">
        <v>6.2799999999999995E-2</v>
      </c>
      <c r="R88" s="34">
        <v>7786980</v>
      </c>
      <c r="S88" s="34">
        <v>3457320000</v>
      </c>
      <c r="T88">
        <v>1.59</v>
      </c>
      <c r="U88" s="33">
        <v>0.12909999999999999</v>
      </c>
    </row>
    <row r="89" spans="1:21" x14ac:dyDescent="0.25">
      <c r="A89" t="s">
        <v>226</v>
      </c>
      <c r="B89">
        <v>7.67</v>
      </c>
      <c r="C89">
        <v>-37.43</v>
      </c>
      <c r="D89">
        <v>1.9</v>
      </c>
      <c r="E89">
        <v>1.746</v>
      </c>
      <c r="F89" s="33">
        <v>0.3286</v>
      </c>
      <c r="G89">
        <v>1.3740000000000001</v>
      </c>
      <c r="H89">
        <v>3.09</v>
      </c>
      <c r="I89">
        <v>-39.6</v>
      </c>
      <c r="J89">
        <v>3.71</v>
      </c>
      <c r="K89">
        <v>-25.94</v>
      </c>
      <c r="L89">
        <v>-108.02</v>
      </c>
      <c r="M89" s="33">
        <v>-4.41E-2</v>
      </c>
      <c r="N89" s="33">
        <v>-5.33E-2</v>
      </c>
      <c r="O89">
        <v>3.35</v>
      </c>
      <c r="P89" s="33">
        <v>-6.8599999999999994E-2</v>
      </c>
      <c r="Q89" s="33">
        <v>-5.0700000000000002E-2</v>
      </c>
      <c r="R89" s="34">
        <v>47285500</v>
      </c>
      <c r="S89" s="34">
        <v>352593000</v>
      </c>
      <c r="T89">
        <v>0</v>
      </c>
      <c r="U89" s="33">
        <v>0.21690000000000001</v>
      </c>
    </row>
    <row r="90" spans="1:21" x14ac:dyDescent="0.25">
      <c r="A90" t="s">
        <v>137</v>
      </c>
      <c r="B90">
        <v>4.34</v>
      </c>
      <c r="C90">
        <v>15.64</v>
      </c>
      <c r="D90">
        <v>0.66</v>
      </c>
      <c r="E90">
        <v>0.32</v>
      </c>
      <c r="F90" s="33">
        <v>0</v>
      </c>
      <c r="G90">
        <v>0.21199999999999999</v>
      </c>
      <c r="H90">
        <v>1.56</v>
      </c>
      <c r="I90">
        <v>3.89</v>
      </c>
      <c r="J90">
        <v>-0.61</v>
      </c>
      <c r="K90">
        <v>8.2799999999999994</v>
      </c>
      <c r="L90">
        <v>4.3</v>
      </c>
      <c r="M90" s="33">
        <v>8.2299999999999998E-2</v>
      </c>
      <c r="N90" s="33">
        <v>3.3000000000000002E-2</v>
      </c>
      <c r="O90">
        <v>1.77</v>
      </c>
      <c r="P90" s="33">
        <v>6.4600000000000005E-2</v>
      </c>
      <c r="Q90" s="33">
        <v>4.2200000000000001E-2</v>
      </c>
      <c r="R90" s="34">
        <v>26551100</v>
      </c>
      <c r="S90" s="34">
        <v>4280660000</v>
      </c>
      <c r="T90">
        <v>0.94</v>
      </c>
      <c r="U90" s="33">
        <v>-2.0299999999999999E-2</v>
      </c>
    </row>
    <row r="91" spans="1:21" x14ac:dyDescent="0.25">
      <c r="A91" t="s">
        <v>355</v>
      </c>
      <c r="B91">
        <v>8.49</v>
      </c>
      <c r="C91">
        <v>4.67</v>
      </c>
      <c r="D91">
        <v>0.38</v>
      </c>
      <c r="E91">
        <v>0.35899999999999999</v>
      </c>
      <c r="F91" s="33">
        <v>4.9299999999999997E-2</v>
      </c>
      <c r="G91">
        <v>0.16200000000000001</v>
      </c>
      <c r="H91">
        <v>-1.23</v>
      </c>
      <c r="I91">
        <v>2.78</v>
      </c>
      <c r="J91">
        <v>-0.45</v>
      </c>
      <c r="K91">
        <v>6.54</v>
      </c>
      <c r="L91">
        <v>3.76</v>
      </c>
      <c r="M91" s="33">
        <v>0.12920000000000001</v>
      </c>
      <c r="N91" s="33">
        <v>7.6899999999999996E-2</v>
      </c>
      <c r="O91">
        <v>0.62</v>
      </c>
      <c r="P91" s="33">
        <v>6.3899999999999998E-2</v>
      </c>
      <c r="Q91" s="33">
        <v>8.14E-2</v>
      </c>
      <c r="R91" s="34">
        <v>424</v>
      </c>
      <c r="S91" s="34">
        <v>8493750000</v>
      </c>
      <c r="T91">
        <v>0.55000000000000004</v>
      </c>
      <c r="U91" s="33">
        <v>5.4899999999999997E-2</v>
      </c>
    </row>
    <row r="92" spans="1:21" x14ac:dyDescent="0.25">
      <c r="A92" t="s">
        <v>195</v>
      </c>
      <c r="B92">
        <v>17.48</v>
      </c>
      <c r="C92">
        <v>13.97</v>
      </c>
      <c r="D92">
        <v>1.65</v>
      </c>
      <c r="E92">
        <v>0.69099999999999995</v>
      </c>
      <c r="F92" s="33">
        <v>2.1899999999999999E-2</v>
      </c>
      <c r="G92">
        <v>0.58099999999999996</v>
      </c>
      <c r="H92">
        <v>5.36</v>
      </c>
      <c r="I92">
        <v>5.45</v>
      </c>
      <c r="J92">
        <v>-3.25</v>
      </c>
      <c r="K92">
        <v>5.37</v>
      </c>
      <c r="L92">
        <v>4.2699999999999996</v>
      </c>
      <c r="M92" s="33">
        <v>0.1268</v>
      </c>
      <c r="N92" s="33">
        <v>4.9500000000000002E-2</v>
      </c>
      <c r="O92">
        <v>1.3</v>
      </c>
      <c r="P92" s="33">
        <v>0.16889999999999999</v>
      </c>
      <c r="Q92" s="33">
        <v>0.1182</v>
      </c>
      <c r="R92" s="34">
        <v>47733300</v>
      </c>
      <c r="S92" s="34">
        <v>3262550000</v>
      </c>
      <c r="T92">
        <v>0.44</v>
      </c>
      <c r="U92" s="33">
        <v>0.17480000000000001</v>
      </c>
    </row>
    <row r="93" spans="1:21" x14ac:dyDescent="0.25">
      <c r="A93" t="s">
        <v>356</v>
      </c>
      <c r="B93">
        <v>18.690000000000001</v>
      </c>
      <c r="C93">
        <v>7.47</v>
      </c>
      <c r="D93">
        <v>1.21</v>
      </c>
      <c r="E93">
        <v>3.4489999999999998</v>
      </c>
      <c r="F93" s="33">
        <v>0.1056</v>
      </c>
      <c r="G93">
        <v>0.88100000000000001</v>
      </c>
      <c r="H93">
        <v>1.72</v>
      </c>
      <c r="I93">
        <v>10.24</v>
      </c>
      <c r="J93">
        <v>1.86</v>
      </c>
      <c r="K93">
        <v>5.0599999999999996</v>
      </c>
      <c r="L93">
        <v>4.75</v>
      </c>
      <c r="M93" s="33">
        <v>0.3367</v>
      </c>
      <c r="N93" s="33">
        <v>0.60240000000000005</v>
      </c>
      <c r="O93">
        <v>9.39</v>
      </c>
      <c r="P93" s="33">
        <v>0.15870000000000001</v>
      </c>
      <c r="Q93" s="33">
        <v>0.1618</v>
      </c>
      <c r="R93" s="34">
        <v>155147</v>
      </c>
      <c r="S93" s="34">
        <v>1115020000</v>
      </c>
      <c r="T93">
        <v>0</v>
      </c>
      <c r="U93" s="33">
        <v>3.6600000000000001E-2</v>
      </c>
    </row>
    <row r="94" spans="1:21" x14ac:dyDescent="0.25">
      <c r="A94" t="s">
        <v>357</v>
      </c>
      <c r="B94">
        <v>18.899999999999999</v>
      </c>
      <c r="C94">
        <v>7.55</v>
      </c>
      <c r="D94">
        <v>1.22</v>
      </c>
      <c r="E94">
        <v>3.4870000000000001</v>
      </c>
      <c r="F94" s="33">
        <v>0.10440000000000001</v>
      </c>
      <c r="G94">
        <v>0.89100000000000001</v>
      </c>
      <c r="H94">
        <v>1.74</v>
      </c>
      <c r="I94">
        <v>10.36</v>
      </c>
      <c r="J94">
        <v>1.88</v>
      </c>
      <c r="K94">
        <v>5.17</v>
      </c>
      <c r="L94">
        <v>4.8600000000000003</v>
      </c>
      <c r="M94" s="33">
        <v>0.3367</v>
      </c>
      <c r="N94" s="33">
        <v>0.60240000000000005</v>
      </c>
      <c r="O94">
        <v>9.39</v>
      </c>
      <c r="P94" s="33">
        <v>0.15870000000000001</v>
      </c>
      <c r="Q94" s="33">
        <v>0.1618</v>
      </c>
      <c r="R94" s="34">
        <v>58700.4</v>
      </c>
      <c r="S94" s="34">
        <v>1115020000</v>
      </c>
      <c r="T94">
        <v>0</v>
      </c>
      <c r="U94" s="33">
        <v>3.6600000000000001E-2</v>
      </c>
    </row>
    <row r="95" spans="1:21" x14ac:dyDescent="0.25">
      <c r="A95" t="s">
        <v>20</v>
      </c>
      <c r="B95">
        <v>20.76</v>
      </c>
      <c r="C95">
        <v>8.3000000000000007</v>
      </c>
      <c r="D95">
        <v>1.34</v>
      </c>
      <c r="E95">
        <v>3.83</v>
      </c>
      <c r="F95" s="33">
        <v>0.1046</v>
      </c>
      <c r="G95">
        <v>0.97799999999999998</v>
      </c>
      <c r="H95">
        <v>1.92</v>
      </c>
      <c r="I95">
        <v>11.38</v>
      </c>
      <c r="J95">
        <v>2.0699999999999998</v>
      </c>
      <c r="K95">
        <v>6.19</v>
      </c>
      <c r="L95">
        <v>5.82</v>
      </c>
      <c r="M95" s="33">
        <v>0.3367</v>
      </c>
      <c r="N95" s="33">
        <v>0.60240000000000005</v>
      </c>
      <c r="O95">
        <v>9.39</v>
      </c>
      <c r="P95" s="33">
        <v>0.15870000000000001</v>
      </c>
      <c r="Q95" s="33">
        <v>0.1618</v>
      </c>
      <c r="R95" s="34">
        <v>187669</v>
      </c>
      <c r="S95" s="34">
        <v>1115020000</v>
      </c>
      <c r="T95">
        <v>0</v>
      </c>
      <c r="U95" s="33">
        <v>3.6600000000000001E-2</v>
      </c>
    </row>
    <row r="96" spans="1:21" x14ac:dyDescent="0.25">
      <c r="A96" t="s">
        <v>358</v>
      </c>
      <c r="B96">
        <v>29.4</v>
      </c>
      <c r="C96">
        <v>2.95</v>
      </c>
      <c r="D96">
        <v>0.94</v>
      </c>
      <c r="E96">
        <v>0.28399999999999997</v>
      </c>
      <c r="F96" s="33">
        <v>0</v>
      </c>
      <c r="G96">
        <v>0.30299999999999999</v>
      </c>
      <c r="H96">
        <v>4.43</v>
      </c>
      <c r="I96">
        <v>1.62</v>
      </c>
      <c r="J96">
        <v>-1.22</v>
      </c>
      <c r="K96">
        <v>3.75</v>
      </c>
      <c r="L96">
        <v>3.3</v>
      </c>
      <c r="M96" s="33">
        <v>0.17499999999999999</v>
      </c>
      <c r="N96" s="33">
        <v>9.64E-2</v>
      </c>
      <c r="O96">
        <v>1.19</v>
      </c>
      <c r="P96" s="33">
        <v>0.2024</v>
      </c>
      <c r="Q96" s="33">
        <v>0.31819999999999998</v>
      </c>
      <c r="R96" s="34">
        <v>5130.68</v>
      </c>
      <c r="S96" s="34">
        <v>313676000</v>
      </c>
      <c r="T96">
        <v>1.25</v>
      </c>
      <c r="U96" s="33">
        <v>9.4399999999999998E-2</v>
      </c>
    </row>
    <row r="97" spans="1:21" x14ac:dyDescent="0.25">
      <c r="A97" t="s">
        <v>359</v>
      </c>
      <c r="B97">
        <v>17.7</v>
      </c>
      <c r="C97">
        <v>1.77</v>
      </c>
      <c r="D97">
        <v>0.56000000000000005</v>
      </c>
      <c r="E97">
        <v>0.17100000000000001</v>
      </c>
      <c r="F97" s="33">
        <v>0</v>
      </c>
      <c r="G97">
        <v>0.182</v>
      </c>
      <c r="H97">
        <v>2.67</v>
      </c>
      <c r="I97">
        <v>0.98</v>
      </c>
      <c r="J97">
        <v>-0.73</v>
      </c>
      <c r="K97">
        <v>3.1</v>
      </c>
      <c r="L97">
        <v>2.73</v>
      </c>
      <c r="M97" s="33">
        <v>0.17499999999999999</v>
      </c>
      <c r="N97" s="33">
        <v>9.64E-2</v>
      </c>
      <c r="O97">
        <v>1.19</v>
      </c>
      <c r="P97" s="33">
        <v>0.2024</v>
      </c>
      <c r="Q97" s="33">
        <v>0.31819999999999998</v>
      </c>
      <c r="R97" s="34">
        <v>28323.1</v>
      </c>
      <c r="S97" s="34">
        <v>313676000</v>
      </c>
      <c r="T97">
        <v>1.25</v>
      </c>
      <c r="U97" s="33">
        <v>9.4399999999999998E-2</v>
      </c>
    </row>
    <row r="98" spans="1:21" x14ac:dyDescent="0.25">
      <c r="A98" t="s">
        <v>360</v>
      </c>
      <c r="B98">
        <v>37.01</v>
      </c>
      <c r="C98">
        <v>5.52</v>
      </c>
      <c r="D98">
        <v>1.23</v>
      </c>
      <c r="E98">
        <v>0.57999999999999996</v>
      </c>
      <c r="F98" s="33">
        <v>4.5199999999999997E-2</v>
      </c>
      <c r="G98">
        <v>0.31</v>
      </c>
      <c r="H98">
        <v>-8.11</v>
      </c>
      <c r="I98">
        <v>2.2999999999999998</v>
      </c>
      <c r="J98">
        <v>-0.55000000000000004</v>
      </c>
      <c r="K98">
        <v>5.77</v>
      </c>
      <c r="L98">
        <v>4.67</v>
      </c>
      <c r="M98" s="33">
        <v>0.25280000000000002</v>
      </c>
      <c r="N98" s="33">
        <v>0.1051</v>
      </c>
      <c r="O98">
        <v>0.83</v>
      </c>
      <c r="P98" s="33">
        <v>0.14499999999999999</v>
      </c>
      <c r="Q98" s="33">
        <v>0.2235</v>
      </c>
      <c r="R98" s="34">
        <v>7996.73</v>
      </c>
      <c r="S98" s="34">
        <v>7858000000</v>
      </c>
      <c r="T98">
        <v>1.97</v>
      </c>
      <c r="U98" s="33">
        <v>7.2800000000000004E-2</v>
      </c>
    </row>
    <row r="99" spans="1:21" x14ac:dyDescent="0.25">
      <c r="A99" t="s">
        <v>361</v>
      </c>
      <c r="B99">
        <v>37</v>
      </c>
      <c r="C99">
        <v>5.52</v>
      </c>
      <c r="D99">
        <v>1.23</v>
      </c>
      <c r="E99">
        <v>0.57999999999999996</v>
      </c>
      <c r="F99" s="33">
        <v>4.5199999999999997E-2</v>
      </c>
      <c r="G99">
        <v>0.31</v>
      </c>
      <c r="H99">
        <v>-8.11</v>
      </c>
      <c r="I99">
        <v>2.29</v>
      </c>
      <c r="J99">
        <v>-0.55000000000000004</v>
      </c>
      <c r="K99">
        <v>5.77</v>
      </c>
      <c r="L99">
        <v>4.67</v>
      </c>
      <c r="M99" s="33">
        <v>0.25280000000000002</v>
      </c>
      <c r="N99" s="33">
        <v>0.1051</v>
      </c>
      <c r="O99">
        <v>0.83</v>
      </c>
      <c r="P99" s="33">
        <v>0.14499999999999999</v>
      </c>
      <c r="Q99" s="33">
        <v>0.2235</v>
      </c>
      <c r="R99" s="34">
        <v>90.24</v>
      </c>
      <c r="S99" s="34">
        <v>7858000000</v>
      </c>
      <c r="T99">
        <v>1.97</v>
      </c>
      <c r="U99" s="33">
        <v>7.2800000000000004E-2</v>
      </c>
    </row>
    <row r="100" spans="1:21" x14ac:dyDescent="0.25">
      <c r="A100" t="s">
        <v>362</v>
      </c>
      <c r="B100">
        <v>8.9</v>
      </c>
      <c r="C100">
        <v>-1.28</v>
      </c>
      <c r="D100">
        <v>-0.17</v>
      </c>
      <c r="E100">
        <v>0.108</v>
      </c>
      <c r="F100" s="33">
        <v>0</v>
      </c>
      <c r="G100">
        <v>7.3999999999999996E-2</v>
      </c>
      <c r="H100">
        <v>2</v>
      </c>
      <c r="I100">
        <v>1.02</v>
      </c>
      <c r="J100">
        <v>-7.0000000000000007E-2</v>
      </c>
      <c r="K100">
        <v>9.3800000000000008</v>
      </c>
      <c r="L100">
        <v>7.3</v>
      </c>
      <c r="M100" s="33">
        <v>0.1061</v>
      </c>
      <c r="N100" s="33">
        <v>-8.4500000000000006E-2</v>
      </c>
      <c r="O100">
        <v>1.1299999999999999</v>
      </c>
      <c r="P100" s="33">
        <v>8.6699999999999999E-2</v>
      </c>
      <c r="Q100" s="33">
        <v>0.13139999999999999</v>
      </c>
      <c r="R100" s="34">
        <v>680.56</v>
      </c>
      <c r="S100" s="34">
        <v>-3617840000</v>
      </c>
      <c r="T100">
        <v>-1.58</v>
      </c>
      <c r="U100" s="33">
        <v>8.8400000000000006E-2</v>
      </c>
    </row>
    <row r="101" spans="1:21" x14ac:dyDescent="0.25">
      <c r="A101" t="s">
        <v>363</v>
      </c>
      <c r="B101">
        <v>96.72</v>
      </c>
      <c r="C101">
        <v>46.03</v>
      </c>
      <c r="D101">
        <v>15</v>
      </c>
      <c r="E101">
        <v>4.9740000000000002</v>
      </c>
      <c r="F101" s="33">
        <v>5.7000000000000002E-3</v>
      </c>
      <c r="G101">
        <v>5.242</v>
      </c>
      <c r="H101">
        <v>-152.55000000000001</v>
      </c>
      <c r="I101">
        <v>26.01</v>
      </c>
      <c r="J101">
        <v>-14.04</v>
      </c>
      <c r="K101">
        <v>26.66</v>
      </c>
      <c r="L101">
        <v>22.97</v>
      </c>
      <c r="M101" s="33">
        <v>0.19120000000000001</v>
      </c>
      <c r="N101" s="33">
        <v>0.1081</v>
      </c>
      <c r="O101">
        <v>0.89</v>
      </c>
      <c r="P101" s="33">
        <v>0.26090000000000002</v>
      </c>
      <c r="Q101" s="33">
        <v>0.32590000000000002</v>
      </c>
      <c r="R101" s="34">
        <v>725.22</v>
      </c>
      <c r="S101" s="34">
        <v>1674010000</v>
      </c>
      <c r="T101">
        <v>0.72</v>
      </c>
      <c r="U101" s="33">
        <v>0.1154</v>
      </c>
    </row>
    <row r="102" spans="1:21" x14ac:dyDescent="0.25">
      <c r="A102" t="s">
        <v>364</v>
      </c>
      <c r="B102">
        <v>138.94999999999999</v>
      </c>
      <c r="C102">
        <v>10.48</v>
      </c>
      <c r="D102">
        <v>12.97</v>
      </c>
      <c r="E102">
        <v>1.236</v>
      </c>
      <c r="F102" s="33">
        <v>7.1499999999999994E-2</v>
      </c>
      <c r="G102">
        <v>1.3129999999999999</v>
      </c>
      <c r="H102">
        <v>10.25</v>
      </c>
      <c r="I102">
        <v>6.34</v>
      </c>
      <c r="J102">
        <v>-2.06</v>
      </c>
      <c r="K102">
        <v>8.8699999999999992</v>
      </c>
      <c r="L102">
        <v>7.21</v>
      </c>
      <c r="M102" s="33">
        <v>0.1951</v>
      </c>
      <c r="N102" s="33">
        <v>0.1179</v>
      </c>
      <c r="O102">
        <v>1.95</v>
      </c>
      <c r="P102" s="33">
        <v>0.2429</v>
      </c>
      <c r="Q102" s="33">
        <v>1.2369000000000001</v>
      </c>
      <c r="R102" s="34">
        <v>5656.93</v>
      </c>
      <c r="S102" s="34">
        <v>1420180000</v>
      </c>
      <c r="T102">
        <v>5.98</v>
      </c>
      <c r="U102" s="33">
        <v>0.1389</v>
      </c>
    </row>
    <row r="103" spans="1:21" x14ac:dyDescent="0.25">
      <c r="A103" t="s">
        <v>365</v>
      </c>
      <c r="B103">
        <v>126.13</v>
      </c>
      <c r="C103">
        <v>9.52</v>
      </c>
      <c r="D103">
        <v>11.77</v>
      </c>
      <c r="E103">
        <v>1.1220000000000001</v>
      </c>
      <c r="F103" s="33">
        <v>8.6599999999999996E-2</v>
      </c>
      <c r="G103">
        <v>1.1910000000000001</v>
      </c>
      <c r="H103">
        <v>9.3000000000000007</v>
      </c>
      <c r="I103">
        <v>5.75</v>
      </c>
      <c r="J103">
        <v>-1.87</v>
      </c>
      <c r="K103">
        <v>8.2799999999999994</v>
      </c>
      <c r="L103">
        <v>6.74</v>
      </c>
      <c r="M103" s="33">
        <v>0.1951</v>
      </c>
      <c r="N103" s="33">
        <v>0.1179</v>
      </c>
      <c r="O103">
        <v>1.95</v>
      </c>
      <c r="P103" s="33">
        <v>0.2429</v>
      </c>
      <c r="Q103" s="33">
        <v>1.2369000000000001</v>
      </c>
      <c r="R103" s="34">
        <v>98138.2</v>
      </c>
      <c r="S103" s="34">
        <v>1420180000</v>
      </c>
      <c r="T103">
        <v>5.98</v>
      </c>
      <c r="U103" s="33">
        <v>0.1389</v>
      </c>
    </row>
    <row r="104" spans="1:21" x14ac:dyDescent="0.25">
      <c r="A104" t="s">
        <v>366</v>
      </c>
      <c r="B104">
        <v>28.5</v>
      </c>
      <c r="C104">
        <v>5.67</v>
      </c>
      <c r="D104">
        <v>0.62</v>
      </c>
      <c r="E104">
        <v>0.79700000000000004</v>
      </c>
      <c r="F104" s="33">
        <v>0.15920000000000001</v>
      </c>
      <c r="G104">
        <v>0.441</v>
      </c>
      <c r="H104">
        <v>1.63</v>
      </c>
      <c r="I104">
        <v>6.79</v>
      </c>
      <c r="J104">
        <v>2.73</v>
      </c>
      <c r="K104">
        <v>4.41</v>
      </c>
      <c r="L104">
        <v>3.34</v>
      </c>
      <c r="M104" s="33">
        <v>0.1174</v>
      </c>
      <c r="N104" s="33">
        <v>0.14069999999999999</v>
      </c>
      <c r="O104">
        <v>2.52</v>
      </c>
      <c r="P104" s="33">
        <v>8.6199999999999999E-2</v>
      </c>
      <c r="Q104" s="33">
        <v>0.10929999999999999</v>
      </c>
      <c r="R104" s="34">
        <v>64992.7</v>
      </c>
      <c r="S104" s="34">
        <v>947333000</v>
      </c>
      <c r="T104">
        <v>0</v>
      </c>
      <c r="U104" s="33">
        <v>0.10879999999999999</v>
      </c>
    </row>
    <row r="105" spans="1:21" x14ac:dyDescent="0.25">
      <c r="A105" t="s">
        <v>4</v>
      </c>
      <c r="B105">
        <v>27.5</v>
      </c>
      <c r="C105">
        <v>5.47</v>
      </c>
      <c r="D105">
        <v>0.6</v>
      </c>
      <c r="E105">
        <v>0.76900000000000002</v>
      </c>
      <c r="F105" s="33">
        <v>0.16500000000000001</v>
      </c>
      <c r="G105">
        <v>0.42599999999999999</v>
      </c>
      <c r="H105">
        <v>1.57</v>
      </c>
      <c r="I105">
        <v>6.55</v>
      </c>
      <c r="J105">
        <v>2.63</v>
      </c>
      <c r="K105">
        <v>4.17</v>
      </c>
      <c r="L105">
        <v>3.16</v>
      </c>
      <c r="M105" s="33">
        <v>0.1174</v>
      </c>
      <c r="N105" s="33">
        <v>0.14069999999999999</v>
      </c>
      <c r="O105">
        <v>2.52</v>
      </c>
      <c r="P105" s="33">
        <v>8.6199999999999999E-2</v>
      </c>
      <c r="Q105" s="33">
        <v>0.10929999999999999</v>
      </c>
      <c r="R105" s="34">
        <v>317855</v>
      </c>
      <c r="S105" s="34">
        <v>947333000</v>
      </c>
      <c r="T105">
        <v>0</v>
      </c>
      <c r="U105" s="33">
        <v>0.10879999999999999</v>
      </c>
    </row>
    <row r="106" spans="1:21" x14ac:dyDescent="0.25">
      <c r="A106" t="s">
        <v>367</v>
      </c>
      <c r="B106">
        <v>89</v>
      </c>
      <c r="C106">
        <v>4.66</v>
      </c>
      <c r="D106">
        <v>0.89</v>
      </c>
      <c r="E106">
        <v>0.311</v>
      </c>
      <c r="F106" s="33">
        <v>6.3500000000000001E-2</v>
      </c>
      <c r="G106">
        <v>0.25600000000000001</v>
      </c>
      <c r="H106">
        <v>3.67</v>
      </c>
      <c r="I106">
        <v>3.04</v>
      </c>
      <c r="J106">
        <v>-0.65</v>
      </c>
      <c r="K106">
        <v>6.12</v>
      </c>
      <c r="L106">
        <v>4.6500000000000004</v>
      </c>
      <c r="M106" s="33">
        <v>0.1022</v>
      </c>
      <c r="N106" s="33">
        <v>6.6699999999999995E-2</v>
      </c>
      <c r="O106">
        <v>1.28</v>
      </c>
      <c r="P106" s="33">
        <v>9.6699999999999994E-2</v>
      </c>
      <c r="Q106" s="33">
        <v>0.19059999999999999</v>
      </c>
      <c r="R106" s="34">
        <v>7781.27</v>
      </c>
      <c r="S106" s="34">
        <v>3863830000</v>
      </c>
      <c r="T106">
        <v>1.0900000000000001</v>
      </c>
      <c r="U106" s="33">
        <v>2.5100000000000001E-2</v>
      </c>
    </row>
    <row r="107" spans="1:21" x14ac:dyDescent="0.25">
      <c r="A107" t="s">
        <v>368</v>
      </c>
      <c r="B107">
        <v>99.96</v>
      </c>
      <c r="C107">
        <v>5.24</v>
      </c>
      <c r="D107">
        <v>1</v>
      </c>
      <c r="E107">
        <v>0.34899999999999998</v>
      </c>
      <c r="F107" s="33">
        <v>6.2199999999999998E-2</v>
      </c>
      <c r="G107">
        <v>0.28699999999999998</v>
      </c>
      <c r="H107">
        <v>4.12</v>
      </c>
      <c r="I107">
        <v>3.42</v>
      </c>
      <c r="J107">
        <v>-0.73</v>
      </c>
      <c r="K107">
        <v>6.49</v>
      </c>
      <c r="L107">
        <v>4.93</v>
      </c>
      <c r="M107" s="33">
        <v>0.1022</v>
      </c>
      <c r="N107" s="33">
        <v>6.6699999999999995E-2</v>
      </c>
      <c r="O107">
        <v>1.28</v>
      </c>
      <c r="P107" s="33">
        <v>9.6699999999999994E-2</v>
      </c>
      <c r="Q107" s="33">
        <v>0.19059999999999999</v>
      </c>
      <c r="R107" s="34">
        <v>411627</v>
      </c>
      <c r="S107" s="34">
        <v>3863830000</v>
      </c>
      <c r="T107">
        <v>1.0900000000000001</v>
      </c>
      <c r="U107" s="33">
        <v>2.5100000000000001E-2</v>
      </c>
    </row>
    <row r="108" spans="1:21" x14ac:dyDescent="0.25">
      <c r="A108" t="s">
        <v>369</v>
      </c>
      <c r="B108">
        <v>15.21</v>
      </c>
      <c r="C108">
        <v>6.22</v>
      </c>
      <c r="D108">
        <v>1.56</v>
      </c>
      <c r="E108">
        <v>1.0720000000000001</v>
      </c>
      <c r="F108" s="33">
        <v>8.3799999999999999E-2</v>
      </c>
      <c r="G108">
        <v>0.68100000000000005</v>
      </c>
      <c r="H108">
        <v>50.13</v>
      </c>
      <c r="I108">
        <v>6.24</v>
      </c>
      <c r="J108">
        <v>-2.12</v>
      </c>
      <c r="K108">
        <v>7.75</v>
      </c>
      <c r="L108">
        <v>6.45</v>
      </c>
      <c r="M108" s="33">
        <v>0.17180000000000001</v>
      </c>
      <c r="N108" s="33">
        <v>0.17249999999999999</v>
      </c>
      <c r="O108">
        <v>1.06</v>
      </c>
      <c r="P108" s="33">
        <v>0.1241</v>
      </c>
      <c r="Q108" s="33">
        <v>0.25090000000000001</v>
      </c>
      <c r="R108" s="34">
        <v>4865390</v>
      </c>
      <c r="S108" s="34">
        <v>27914500000</v>
      </c>
      <c r="T108">
        <v>0.55000000000000004</v>
      </c>
      <c r="U108" s="33">
        <v>9.9699999999999997E-2</v>
      </c>
    </row>
    <row r="109" spans="1:21" x14ac:dyDescent="0.25">
      <c r="A109" t="s">
        <v>22</v>
      </c>
      <c r="B109">
        <v>10.38</v>
      </c>
      <c r="C109">
        <v>4.24</v>
      </c>
      <c r="D109">
        <v>1.06</v>
      </c>
      <c r="E109">
        <v>0.73199999999999998</v>
      </c>
      <c r="F109" s="33">
        <v>0.1227</v>
      </c>
      <c r="G109">
        <v>0.46500000000000002</v>
      </c>
      <c r="H109">
        <v>34.21</v>
      </c>
      <c r="I109">
        <v>4.26</v>
      </c>
      <c r="J109">
        <v>-1.45</v>
      </c>
      <c r="K109">
        <v>5.77</v>
      </c>
      <c r="L109">
        <v>4.8</v>
      </c>
      <c r="M109" s="33">
        <v>0.17180000000000001</v>
      </c>
      <c r="N109" s="33">
        <v>0.17249999999999999</v>
      </c>
      <c r="O109">
        <v>1.06</v>
      </c>
      <c r="P109" s="33">
        <v>0.1241</v>
      </c>
      <c r="Q109" s="33">
        <v>0.25090000000000001</v>
      </c>
      <c r="R109" s="34">
        <v>149559000</v>
      </c>
      <c r="S109" s="34">
        <v>27914500000</v>
      </c>
      <c r="T109">
        <v>0.55000000000000004</v>
      </c>
      <c r="U109" s="33">
        <v>9.9699999999999997E-2</v>
      </c>
    </row>
    <row r="110" spans="1:21" x14ac:dyDescent="0.25">
      <c r="A110" t="s">
        <v>370</v>
      </c>
      <c r="B110">
        <v>4.9400000000000004</v>
      </c>
      <c r="C110">
        <v>7.5</v>
      </c>
      <c r="D110">
        <v>2.65</v>
      </c>
      <c r="E110">
        <v>1.6040000000000001</v>
      </c>
      <c r="F110" s="33">
        <v>0.16800000000000001</v>
      </c>
      <c r="G110">
        <v>0.76700000000000002</v>
      </c>
      <c r="H110">
        <v>2.93</v>
      </c>
      <c r="I110">
        <v>5.39</v>
      </c>
      <c r="J110">
        <v>-3.22</v>
      </c>
      <c r="K110">
        <v>4.5</v>
      </c>
      <c r="L110">
        <v>3.65</v>
      </c>
      <c r="M110" s="33">
        <v>0.29749999999999999</v>
      </c>
      <c r="N110" s="33">
        <v>0.21379999999999999</v>
      </c>
      <c r="O110">
        <v>2.2400000000000002</v>
      </c>
      <c r="P110" s="33">
        <v>0.26140000000000002</v>
      </c>
      <c r="Q110" s="33">
        <v>0.35299999999999998</v>
      </c>
      <c r="R110" s="34">
        <v>44208200</v>
      </c>
      <c r="S110" s="34">
        <v>10233800000</v>
      </c>
      <c r="T110">
        <v>0.96</v>
      </c>
      <c r="U110" s="33">
        <v>-4.8999999999999998E-3</v>
      </c>
    </row>
    <row r="111" spans="1:21" x14ac:dyDescent="0.25">
      <c r="A111" t="s">
        <v>371</v>
      </c>
      <c r="B111">
        <v>25.9</v>
      </c>
      <c r="C111">
        <v>5.42</v>
      </c>
      <c r="D111">
        <v>0.39</v>
      </c>
      <c r="E111">
        <v>0.23899999999999999</v>
      </c>
      <c r="F111" s="33">
        <v>5.2200000000000003E-2</v>
      </c>
      <c r="G111">
        <v>0.13500000000000001</v>
      </c>
      <c r="H111">
        <v>-0.57999999999999996</v>
      </c>
      <c r="I111">
        <v>1.66</v>
      </c>
      <c r="J111">
        <v>-0.31</v>
      </c>
      <c r="K111">
        <v>6.15</v>
      </c>
      <c r="L111">
        <v>3.96</v>
      </c>
      <c r="M111" s="33">
        <v>0.1439</v>
      </c>
      <c r="N111" s="33">
        <v>4.3999999999999997E-2</v>
      </c>
      <c r="O111">
        <v>0.48</v>
      </c>
      <c r="P111" s="33">
        <v>9.0300000000000005E-2</v>
      </c>
      <c r="Q111" s="33">
        <v>7.1900000000000006E-2</v>
      </c>
      <c r="R111" s="34">
        <v>3569.12</v>
      </c>
      <c r="S111" s="34">
        <v>5174440000</v>
      </c>
      <c r="T111">
        <v>1.1100000000000001</v>
      </c>
      <c r="U111" s="33">
        <v>6.7100000000000007E-2</v>
      </c>
    </row>
    <row r="112" spans="1:21" x14ac:dyDescent="0.25">
      <c r="A112" t="s">
        <v>194</v>
      </c>
      <c r="B112">
        <v>25.95</v>
      </c>
      <c r="C112">
        <v>5.43</v>
      </c>
      <c r="D112">
        <v>0.39</v>
      </c>
      <c r="E112">
        <v>0.23899999999999999</v>
      </c>
      <c r="F112" s="33">
        <v>5.21E-2</v>
      </c>
      <c r="G112">
        <v>0.13500000000000001</v>
      </c>
      <c r="H112">
        <v>-0.57999999999999996</v>
      </c>
      <c r="I112">
        <v>1.66</v>
      </c>
      <c r="J112">
        <v>-0.31</v>
      </c>
      <c r="K112">
        <v>6.15</v>
      </c>
      <c r="L112">
        <v>3.96</v>
      </c>
      <c r="M112" s="33">
        <v>0.1439</v>
      </c>
      <c r="N112" s="33">
        <v>4.3999999999999997E-2</v>
      </c>
      <c r="O112">
        <v>0.48</v>
      </c>
      <c r="P112" s="33">
        <v>9.0300000000000005E-2</v>
      </c>
      <c r="Q112" s="33">
        <v>7.1900000000000006E-2</v>
      </c>
      <c r="R112" s="34">
        <v>228622</v>
      </c>
      <c r="S112" s="34">
        <v>5174440000</v>
      </c>
      <c r="T112">
        <v>1.1100000000000001</v>
      </c>
      <c r="U112" s="33">
        <v>6.7100000000000007E-2</v>
      </c>
    </row>
    <row r="113" spans="1:21" x14ac:dyDescent="0.25">
      <c r="A113" t="s">
        <v>218</v>
      </c>
      <c r="B113">
        <v>3.03</v>
      </c>
      <c r="C113">
        <v>5.78</v>
      </c>
      <c r="D113">
        <v>0.46</v>
      </c>
      <c r="E113">
        <v>0.875</v>
      </c>
      <c r="F113" s="33">
        <v>2.1999999999999999E-2</v>
      </c>
      <c r="G113">
        <v>0.23499999999999999</v>
      </c>
      <c r="H113">
        <v>4.3600000000000003</v>
      </c>
      <c r="I113">
        <v>2.74</v>
      </c>
      <c r="J113">
        <v>-0.96</v>
      </c>
      <c r="K113">
        <v>5.37</v>
      </c>
      <c r="L113">
        <v>4.03</v>
      </c>
      <c r="M113" s="33">
        <v>0.31909999999999999</v>
      </c>
      <c r="N113" s="33">
        <v>0.1676</v>
      </c>
      <c r="O113">
        <v>1.38</v>
      </c>
      <c r="P113" s="33">
        <v>9.5500000000000002E-2</v>
      </c>
      <c r="Q113" s="33">
        <v>7.9000000000000001E-2</v>
      </c>
      <c r="R113" s="34">
        <v>152249000</v>
      </c>
      <c r="S113" s="34">
        <v>12444500000</v>
      </c>
      <c r="T113">
        <v>0.55000000000000004</v>
      </c>
      <c r="U113" s="33">
        <v>8.7900000000000006E-2</v>
      </c>
    </row>
    <row r="114" spans="1:21" x14ac:dyDescent="0.25">
      <c r="A114" t="s">
        <v>103</v>
      </c>
      <c r="B114">
        <v>40.51</v>
      </c>
      <c r="C114">
        <v>8.75</v>
      </c>
      <c r="D114">
        <v>2.1</v>
      </c>
      <c r="E114">
        <v>1.083</v>
      </c>
      <c r="F114" s="33">
        <v>6.9000000000000006E-2</v>
      </c>
      <c r="G114">
        <v>0.59299999999999997</v>
      </c>
      <c r="H114">
        <v>-187.43</v>
      </c>
      <c r="I114">
        <v>4.22</v>
      </c>
      <c r="J114">
        <v>-1.23</v>
      </c>
      <c r="K114">
        <v>6.41</v>
      </c>
      <c r="L114">
        <v>5.43</v>
      </c>
      <c r="M114" s="33">
        <v>0.25650000000000001</v>
      </c>
      <c r="N114" s="33">
        <v>0.13039999999999999</v>
      </c>
      <c r="O114">
        <v>0.99</v>
      </c>
      <c r="P114" s="33">
        <v>0.15609999999999999</v>
      </c>
      <c r="Q114" s="33">
        <v>0.2397</v>
      </c>
      <c r="R114" s="34">
        <v>60930000</v>
      </c>
      <c r="S114" s="34">
        <v>22249300000</v>
      </c>
      <c r="T114">
        <v>1.27</v>
      </c>
      <c r="U114" s="33">
        <v>6.1699999999999998E-2</v>
      </c>
    </row>
    <row r="115" spans="1:21" x14ac:dyDescent="0.25">
      <c r="A115" t="s">
        <v>93</v>
      </c>
      <c r="B115">
        <v>11.47</v>
      </c>
      <c r="C115">
        <v>11.62</v>
      </c>
      <c r="D115">
        <v>1.3</v>
      </c>
      <c r="E115">
        <v>1.4790000000000001</v>
      </c>
      <c r="F115" s="33">
        <v>6.4699999999999994E-2</v>
      </c>
      <c r="G115">
        <v>0.56799999999999995</v>
      </c>
      <c r="H115">
        <v>6.5</v>
      </c>
      <c r="I115">
        <v>8.24</v>
      </c>
      <c r="J115">
        <v>-1.92</v>
      </c>
      <c r="K115">
        <v>11.31</v>
      </c>
      <c r="L115">
        <v>8.3699999999999992</v>
      </c>
      <c r="M115" s="33">
        <v>0.17960000000000001</v>
      </c>
      <c r="N115" s="33">
        <v>0.12670000000000001</v>
      </c>
      <c r="O115">
        <v>1.48</v>
      </c>
      <c r="P115" s="33">
        <v>8.0100000000000005E-2</v>
      </c>
      <c r="Q115" s="33">
        <v>0.112</v>
      </c>
      <c r="R115" s="34">
        <v>73163500</v>
      </c>
      <c r="S115" s="34">
        <v>26272200000</v>
      </c>
      <c r="T115">
        <v>0.72</v>
      </c>
      <c r="U115" s="33">
        <v>2.06E-2</v>
      </c>
    </row>
    <row r="116" spans="1:21" x14ac:dyDescent="0.25">
      <c r="A116" t="s">
        <v>372</v>
      </c>
      <c r="B116">
        <v>12.3</v>
      </c>
      <c r="C116">
        <v>12.46</v>
      </c>
      <c r="D116">
        <v>1.4</v>
      </c>
      <c r="E116">
        <v>1.5860000000000001</v>
      </c>
      <c r="F116" s="33">
        <v>6.6299999999999998E-2</v>
      </c>
      <c r="G116">
        <v>0.60899999999999999</v>
      </c>
      <c r="H116">
        <v>6.97</v>
      </c>
      <c r="I116">
        <v>8.84</v>
      </c>
      <c r="J116">
        <v>-2.0499999999999998</v>
      </c>
      <c r="K116">
        <v>11.9</v>
      </c>
      <c r="L116">
        <v>8.81</v>
      </c>
      <c r="M116" s="33">
        <v>0.17960000000000001</v>
      </c>
      <c r="N116" s="33">
        <v>0.12670000000000001</v>
      </c>
      <c r="O116">
        <v>1.48</v>
      </c>
      <c r="P116" s="33">
        <v>8.0100000000000005E-2</v>
      </c>
      <c r="Q116" s="33">
        <v>0.112</v>
      </c>
      <c r="R116" s="34">
        <v>4687.32</v>
      </c>
      <c r="S116" s="34">
        <v>26272200000</v>
      </c>
      <c r="T116">
        <v>0.72</v>
      </c>
      <c r="U116" s="33">
        <v>2.06E-2</v>
      </c>
    </row>
    <row r="117" spans="1:21" x14ac:dyDescent="0.25">
      <c r="A117" t="s">
        <v>19</v>
      </c>
      <c r="B117">
        <v>12.51</v>
      </c>
      <c r="C117">
        <v>12.68</v>
      </c>
      <c r="D117">
        <v>1.42</v>
      </c>
      <c r="E117">
        <v>1.6140000000000001</v>
      </c>
      <c r="F117" s="33">
        <v>6.5199999999999994E-2</v>
      </c>
      <c r="G117">
        <v>0.61899999999999999</v>
      </c>
      <c r="H117">
        <v>7.09</v>
      </c>
      <c r="I117">
        <v>8.99</v>
      </c>
      <c r="J117">
        <v>-2.09</v>
      </c>
      <c r="K117">
        <v>12.05</v>
      </c>
      <c r="L117">
        <v>8.92</v>
      </c>
      <c r="M117" s="33">
        <v>0.17960000000000001</v>
      </c>
      <c r="N117" s="33">
        <v>0.12670000000000001</v>
      </c>
      <c r="O117">
        <v>1.48</v>
      </c>
      <c r="P117" s="33">
        <v>8.0100000000000005E-2</v>
      </c>
      <c r="Q117" s="33">
        <v>0.112</v>
      </c>
      <c r="R117" s="34">
        <v>202506000</v>
      </c>
      <c r="S117" s="34">
        <v>26272200000</v>
      </c>
      <c r="T117">
        <v>0.72</v>
      </c>
      <c r="U117" s="33">
        <v>2.06E-2</v>
      </c>
    </row>
    <row r="118" spans="1:21" x14ac:dyDescent="0.25">
      <c r="A118" t="s">
        <v>34</v>
      </c>
      <c r="B118">
        <v>8.48</v>
      </c>
      <c r="C118">
        <v>9.2200000000000006</v>
      </c>
      <c r="D118">
        <v>0.85</v>
      </c>
      <c r="E118">
        <v>0.153</v>
      </c>
      <c r="F118" s="33">
        <v>1.12E-2</v>
      </c>
      <c r="G118">
        <v>0.183</v>
      </c>
      <c r="H118" s="34">
        <v>2554.9499999999998</v>
      </c>
      <c r="I118">
        <v>3.78</v>
      </c>
      <c r="J118">
        <v>-0.67</v>
      </c>
      <c r="K118">
        <v>7.91</v>
      </c>
      <c r="L118">
        <v>5.72</v>
      </c>
      <c r="M118" s="33">
        <v>4.0399999999999998E-2</v>
      </c>
      <c r="N118" s="33">
        <v>1.8200000000000001E-2</v>
      </c>
      <c r="O118">
        <v>1</v>
      </c>
      <c r="P118" s="33">
        <v>6.3700000000000007E-2</v>
      </c>
      <c r="Q118" s="33">
        <v>9.2100000000000001E-2</v>
      </c>
      <c r="R118" s="34">
        <v>245772000</v>
      </c>
      <c r="S118" s="34">
        <v>21042000000</v>
      </c>
      <c r="T118">
        <v>1.19</v>
      </c>
      <c r="U118" s="33">
        <v>0.13439999999999999</v>
      </c>
    </row>
    <row r="119" spans="1:21" x14ac:dyDescent="0.25">
      <c r="A119" t="s">
        <v>373</v>
      </c>
      <c r="B119">
        <v>21.5</v>
      </c>
      <c r="C119">
        <v>-5.31</v>
      </c>
      <c r="D119">
        <v>1.06</v>
      </c>
      <c r="E119">
        <v>0.876</v>
      </c>
      <c r="F119" s="33">
        <v>0</v>
      </c>
      <c r="G119">
        <v>0.71599999999999997</v>
      </c>
      <c r="H119" s="34">
        <v>1.7</v>
      </c>
      <c r="I119">
        <v>-16.829999999999998</v>
      </c>
      <c r="J119">
        <v>2.42</v>
      </c>
      <c r="K119">
        <v>-13.32</v>
      </c>
      <c r="L119">
        <v>-71.87</v>
      </c>
      <c r="M119" s="33">
        <v>-5.21E-2</v>
      </c>
      <c r="N119" s="33">
        <v>-0.1651</v>
      </c>
      <c r="O119">
        <v>3.13</v>
      </c>
      <c r="P119" s="33">
        <v>-5.8700000000000002E-2</v>
      </c>
      <c r="Q119" s="33">
        <v>-0.1993</v>
      </c>
      <c r="R119" s="34">
        <v>313.37</v>
      </c>
      <c r="S119" s="34">
        <v>589725000</v>
      </c>
      <c r="T119">
        <v>0.02</v>
      </c>
      <c r="U119" s="33">
        <v>-0.08</v>
      </c>
    </row>
    <row r="120" spans="1:21" x14ac:dyDescent="0.25">
      <c r="A120" t="s">
        <v>211</v>
      </c>
      <c r="B120">
        <v>21.3</v>
      </c>
      <c r="C120">
        <v>-5.26</v>
      </c>
      <c r="D120">
        <v>1.05</v>
      </c>
      <c r="E120">
        <v>0.86799999999999999</v>
      </c>
      <c r="F120" s="33">
        <v>0</v>
      </c>
      <c r="G120">
        <v>0.70899999999999996</v>
      </c>
      <c r="H120">
        <v>1.68</v>
      </c>
      <c r="I120">
        <v>-16.670000000000002</v>
      </c>
      <c r="J120">
        <v>2.39</v>
      </c>
      <c r="K120">
        <v>-13.17</v>
      </c>
      <c r="L120">
        <v>-71.03</v>
      </c>
      <c r="M120" s="33">
        <v>-5.21E-2</v>
      </c>
      <c r="N120" s="33">
        <v>-0.1651</v>
      </c>
      <c r="O120">
        <v>3.13</v>
      </c>
      <c r="P120" s="33">
        <v>-5.8700000000000002E-2</v>
      </c>
      <c r="Q120" s="33">
        <v>-0.1993</v>
      </c>
      <c r="R120" s="34">
        <v>30877</v>
      </c>
      <c r="S120" s="34">
        <v>589725000</v>
      </c>
      <c r="T120">
        <v>0.02</v>
      </c>
      <c r="U120" s="33">
        <v>-0.08</v>
      </c>
    </row>
    <row r="121" spans="1:21" x14ac:dyDescent="0.25">
      <c r="A121" t="s">
        <v>374</v>
      </c>
      <c r="B121">
        <v>21.99</v>
      </c>
      <c r="C121">
        <v>-5.43</v>
      </c>
      <c r="D121">
        <v>1.08</v>
      </c>
      <c r="E121">
        <v>0.89600000000000002</v>
      </c>
      <c r="F121" s="33">
        <v>0</v>
      </c>
      <c r="G121">
        <v>0.73199999999999998</v>
      </c>
      <c r="H121">
        <v>1.74</v>
      </c>
      <c r="I121">
        <v>-17.21</v>
      </c>
      <c r="J121">
        <v>2.4700000000000002</v>
      </c>
      <c r="K121">
        <v>-13.71</v>
      </c>
      <c r="L121">
        <v>-73.94</v>
      </c>
      <c r="M121" s="33">
        <v>-5.21E-2</v>
      </c>
      <c r="N121" s="33">
        <v>-0.1651</v>
      </c>
      <c r="O121">
        <v>3.13</v>
      </c>
      <c r="P121" s="33">
        <v>-5.8700000000000002E-2</v>
      </c>
      <c r="Q121" s="33">
        <v>-0.1993</v>
      </c>
      <c r="R121" s="34">
        <v>3445.24</v>
      </c>
      <c r="S121" s="34">
        <v>589725000</v>
      </c>
      <c r="T121">
        <v>0.02</v>
      </c>
      <c r="U121" s="33">
        <v>-0.08</v>
      </c>
    </row>
    <row r="122" spans="1:21" x14ac:dyDescent="0.25">
      <c r="A122" t="s">
        <v>246</v>
      </c>
      <c r="B122">
        <v>8.0399999999999991</v>
      </c>
      <c r="C122">
        <v>-1.36</v>
      </c>
      <c r="D122">
        <v>1.9</v>
      </c>
      <c r="E122">
        <v>0.34300000000000003</v>
      </c>
      <c r="F122" s="33">
        <v>0</v>
      </c>
      <c r="G122">
        <v>0.11799999999999999</v>
      </c>
      <c r="H122">
        <v>1.01</v>
      </c>
      <c r="I122">
        <v>1.63</v>
      </c>
      <c r="J122">
        <v>-0.23</v>
      </c>
      <c r="K122">
        <v>7.3</v>
      </c>
      <c r="L122">
        <v>4.13</v>
      </c>
      <c r="M122" s="33">
        <v>0.21060000000000001</v>
      </c>
      <c r="N122" s="33">
        <v>-0.23669999999999999</v>
      </c>
      <c r="O122">
        <v>2.13</v>
      </c>
      <c r="P122" s="33">
        <v>8.48E-2</v>
      </c>
      <c r="Q122" s="33">
        <v>-1.3964000000000001</v>
      </c>
      <c r="R122" s="34">
        <v>145408000</v>
      </c>
      <c r="S122" s="34">
        <v>7891660000</v>
      </c>
      <c r="T122">
        <v>8.5</v>
      </c>
      <c r="U122" s="33">
        <v>0.28720000000000001</v>
      </c>
    </row>
    <row r="123" spans="1:21" x14ac:dyDescent="0.25">
      <c r="A123" t="s">
        <v>157</v>
      </c>
      <c r="B123">
        <v>5.08</v>
      </c>
      <c r="C123">
        <v>9.64</v>
      </c>
      <c r="D123">
        <v>1.19</v>
      </c>
      <c r="E123">
        <v>0.70399999999999996</v>
      </c>
      <c r="F123" s="33">
        <v>7.3999999999999996E-2</v>
      </c>
      <c r="G123">
        <v>0.38500000000000001</v>
      </c>
      <c r="H123">
        <v>6.55</v>
      </c>
      <c r="I123">
        <v>3.73</v>
      </c>
      <c r="J123">
        <v>-0.86</v>
      </c>
      <c r="K123">
        <v>4.76</v>
      </c>
      <c r="L123">
        <v>3.14</v>
      </c>
      <c r="M123" s="33">
        <v>0.18859999999999999</v>
      </c>
      <c r="N123" s="33">
        <v>7.2999999999999995E-2</v>
      </c>
      <c r="O123">
        <v>1.35</v>
      </c>
      <c r="P123" s="33">
        <v>0.12790000000000001</v>
      </c>
      <c r="Q123" s="33">
        <v>0.1234</v>
      </c>
      <c r="R123" s="34">
        <v>2946670</v>
      </c>
      <c r="S123" s="34">
        <v>1557200000</v>
      </c>
      <c r="T123">
        <v>0.85</v>
      </c>
      <c r="U123" s="33">
        <v>0.1042</v>
      </c>
    </row>
    <row r="124" spans="1:21" x14ac:dyDescent="0.25">
      <c r="A124" t="s">
        <v>128</v>
      </c>
      <c r="B124">
        <v>23.88</v>
      </c>
      <c r="C124">
        <v>6.51</v>
      </c>
      <c r="D124">
        <v>1.0900000000000001</v>
      </c>
      <c r="E124">
        <v>1.1240000000000001</v>
      </c>
      <c r="F124" s="33">
        <v>6.7799999999999999E-2</v>
      </c>
      <c r="G124">
        <v>0.56999999999999995</v>
      </c>
      <c r="H124">
        <v>20.58</v>
      </c>
      <c r="I124">
        <v>4.03</v>
      </c>
      <c r="J124">
        <v>-1.74</v>
      </c>
      <c r="K124">
        <v>6.37</v>
      </c>
      <c r="L124">
        <v>4.66</v>
      </c>
      <c r="M124" s="33">
        <v>0.27900000000000003</v>
      </c>
      <c r="N124" s="33">
        <v>0.1726</v>
      </c>
      <c r="O124">
        <v>1.22</v>
      </c>
      <c r="P124" s="33">
        <v>0.1515</v>
      </c>
      <c r="Q124" s="33">
        <v>0.16800000000000001</v>
      </c>
      <c r="R124" s="34">
        <v>44601600</v>
      </c>
      <c r="S124" s="34">
        <v>8296170000</v>
      </c>
      <c r="T124">
        <v>0.72</v>
      </c>
      <c r="U124" s="33">
        <v>0.1081</v>
      </c>
    </row>
    <row r="125" spans="1:21" x14ac:dyDescent="0.25">
      <c r="A125" t="s">
        <v>238</v>
      </c>
      <c r="B125">
        <v>8.27</v>
      </c>
      <c r="C125">
        <v>-4.18</v>
      </c>
      <c r="D125">
        <v>0.84</v>
      </c>
      <c r="E125">
        <v>0.24399999999999999</v>
      </c>
      <c r="F125" s="33">
        <v>6.6600000000000006E-2</v>
      </c>
      <c r="G125">
        <v>0.11</v>
      </c>
      <c r="H125">
        <v>0.79</v>
      </c>
      <c r="I125">
        <v>1.87</v>
      </c>
      <c r="J125">
        <v>-0.23</v>
      </c>
      <c r="K125">
        <v>7.42</v>
      </c>
      <c r="L125">
        <v>4.46</v>
      </c>
      <c r="M125" s="33">
        <v>0.1305</v>
      </c>
      <c r="N125" s="33">
        <v>-3.9899999999999998E-2</v>
      </c>
      <c r="O125">
        <v>1.64</v>
      </c>
      <c r="P125" s="33">
        <v>8.1000000000000003E-2</v>
      </c>
      <c r="Q125" s="33">
        <v>-0.20030000000000001</v>
      </c>
      <c r="R125" s="34">
        <v>92713600</v>
      </c>
      <c r="S125" s="34">
        <v>13083900000</v>
      </c>
      <c r="T125">
        <v>4.07</v>
      </c>
      <c r="U125" s="33">
        <v>3.2500000000000001E-2</v>
      </c>
    </row>
    <row r="126" spans="1:21" x14ac:dyDescent="0.25">
      <c r="A126" t="s">
        <v>31</v>
      </c>
      <c r="B126">
        <v>18.29</v>
      </c>
      <c r="C126">
        <v>8.3699999999999992</v>
      </c>
      <c r="D126">
        <v>1.55</v>
      </c>
      <c r="E126">
        <v>1.32</v>
      </c>
      <c r="F126" s="33">
        <v>6.0900000000000003E-2</v>
      </c>
      <c r="G126">
        <v>1.079</v>
      </c>
      <c r="H126">
        <v>17.45</v>
      </c>
      <c r="I126">
        <v>6.16</v>
      </c>
      <c r="J126">
        <v>-123.81</v>
      </c>
      <c r="K126">
        <v>6.04</v>
      </c>
      <c r="L126">
        <v>4.03</v>
      </c>
      <c r="M126" s="33">
        <v>0.2142</v>
      </c>
      <c r="N126" s="33">
        <v>0.1578</v>
      </c>
      <c r="O126">
        <v>1.27</v>
      </c>
      <c r="P126" s="33">
        <v>0.21060000000000001</v>
      </c>
      <c r="Q126" s="33">
        <v>0.1847</v>
      </c>
      <c r="R126" s="34">
        <v>711775</v>
      </c>
      <c r="S126" s="34">
        <v>494617000</v>
      </c>
      <c r="T126">
        <v>0.13</v>
      </c>
      <c r="U126" s="33">
        <v>4.7100000000000003E-2</v>
      </c>
    </row>
    <row r="127" spans="1:21" x14ac:dyDescent="0.25">
      <c r="A127" t="s">
        <v>375</v>
      </c>
      <c r="B127">
        <v>41.79</v>
      </c>
      <c r="C127">
        <v>2.16</v>
      </c>
      <c r="D127">
        <v>13.98</v>
      </c>
      <c r="E127">
        <v>0.36399999999999999</v>
      </c>
      <c r="F127" s="33">
        <v>0</v>
      </c>
      <c r="G127">
        <v>0.36599999999999999</v>
      </c>
      <c r="H127">
        <v>1.2</v>
      </c>
      <c r="I127">
        <v>3.05</v>
      </c>
      <c r="J127">
        <v>-1.1499999999999999</v>
      </c>
      <c r="K127">
        <v>7.42</v>
      </c>
      <c r="L127">
        <v>6.03</v>
      </c>
      <c r="M127" s="33">
        <v>0.11940000000000001</v>
      </c>
      <c r="N127" s="33">
        <v>0.1686</v>
      </c>
      <c r="O127">
        <v>1.87</v>
      </c>
      <c r="P127" s="33">
        <v>0.1578</v>
      </c>
      <c r="Q127" s="33">
        <v>6.4744000000000002</v>
      </c>
      <c r="R127" s="34">
        <v>198.02</v>
      </c>
      <c r="S127" s="34">
        <v>18555000</v>
      </c>
      <c r="T127">
        <v>23.99</v>
      </c>
      <c r="U127" s="33">
        <v>0.13420000000000001</v>
      </c>
    </row>
    <row r="128" spans="1:21" x14ac:dyDescent="0.25">
      <c r="A128" t="s">
        <v>376</v>
      </c>
      <c r="B128">
        <v>36.5</v>
      </c>
      <c r="C128">
        <v>1.89</v>
      </c>
      <c r="D128">
        <v>12.21</v>
      </c>
      <c r="E128">
        <v>0.318</v>
      </c>
      <c r="F128" s="33">
        <v>0</v>
      </c>
      <c r="G128">
        <v>0.32</v>
      </c>
      <c r="H128">
        <v>1.05</v>
      </c>
      <c r="I128">
        <v>2.66</v>
      </c>
      <c r="J128">
        <v>-1</v>
      </c>
      <c r="K128">
        <v>7.03</v>
      </c>
      <c r="L128">
        <v>5.71</v>
      </c>
      <c r="M128" s="33">
        <v>0.11940000000000001</v>
      </c>
      <c r="N128" s="33">
        <v>0.1686</v>
      </c>
      <c r="O128">
        <v>1.87</v>
      </c>
      <c r="P128" s="33">
        <v>0.1578</v>
      </c>
      <c r="Q128" s="33">
        <v>6.4744000000000002</v>
      </c>
      <c r="R128" s="34">
        <v>15841.2</v>
      </c>
      <c r="S128" s="34">
        <v>18555000</v>
      </c>
      <c r="T128">
        <v>23.99</v>
      </c>
      <c r="U128" s="33">
        <v>0.13420000000000001</v>
      </c>
    </row>
    <row r="129" spans="1:21" x14ac:dyDescent="0.25">
      <c r="A129" t="s">
        <v>377</v>
      </c>
      <c r="B129">
        <v>4.29</v>
      </c>
      <c r="C129">
        <v>-0.24</v>
      </c>
      <c r="D129">
        <v>0.23</v>
      </c>
      <c r="E129">
        <v>0.30299999999999999</v>
      </c>
      <c r="F129" s="33">
        <v>0</v>
      </c>
      <c r="G129">
        <v>5.0999999999999997E-2</v>
      </c>
      <c r="H129">
        <v>-0.14000000000000001</v>
      </c>
      <c r="I129">
        <v>-0.44</v>
      </c>
      <c r="J129">
        <v>-0.08</v>
      </c>
      <c r="K129">
        <v>-3.53</v>
      </c>
      <c r="L129">
        <v>-4.16</v>
      </c>
      <c r="M129" s="33">
        <v>-0.69220000000000004</v>
      </c>
      <c r="N129" s="33">
        <v>-1.246</v>
      </c>
      <c r="O129">
        <v>0.3</v>
      </c>
      <c r="P129" s="33">
        <v>-0.13220000000000001</v>
      </c>
      <c r="Q129" s="33">
        <v>-0.93740000000000001</v>
      </c>
      <c r="R129" s="34">
        <v>289.32</v>
      </c>
      <c r="S129" s="34">
        <v>130725000</v>
      </c>
      <c r="T129">
        <v>1.66</v>
      </c>
      <c r="U129" s="33">
        <v>-0.34389999999999998</v>
      </c>
    </row>
    <row r="130" spans="1:21" x14ac:dyDescent="0.25">
      <c r="A130" t="s">
        <v>378</v>
      </c>
      <c r="B130">
        <v>2.23</v>
      </c>
      <c r="C130">
        <v>-0.13</v>
      </c>
      <c r="D130">
        <v>0.12</v>
      </c>
      <c r="E130">
        <v>0.158</v>
      </c>
      <c r="F130" s="33">
        <v>0</v>
      </c>
      <c r="G130">
        <v>2.5999999999999999E-2</v>
      </c>
      <c r="H130">
        <v>-7.0000000000000007E-2</v>
      </c>
      <c r="I130">
        <v>-0.23</v>
      </c>
      <c r="J130">
        <v>-0.04</v>
      </c>
      <c r="K130">
        <v>-3.32</v>
      </c>
      <c r="L130">
        <v>-3.91</v>
      </c>
      <c r="M130" s="33">
        <v>-0.69220000000000004</v>
      </c>
      <c r="N130" s="33">
        <v>-1.246</v>
      </c>
      <c r="O130">
        <v>0.3</v>
      </c>
      <c r="P130" s="33">
        <v>-0.13220000000000001</v>
      </c>
      <c r="Q130" s="33">
        <v>-0.93740000000000001</v>
      </c>
      <c r="R130" s="34">
        <v>3339.12</v>
      </c>
      <c r="S130" s="34">
        <v>130725000</v>
      </c>
      <c r="T130">
        <v>1.66</v>
      </c>
      <c r="U130" s="33">
        <v>-0.34389999999999998</v>
      </c>
    </row>
    <row r="131" spans="1:21" x14ac:dyDescent="0.25">
      <c r="A131" t="s">
        <v>114</v>
      </c>
      <c r="B131">
        <v>29.81</v>
      </c>
      <c r="C131">
        <v>12.05</v>
      </c>
      <c r="D131">
        <v>7.67</v>
      </c>
      <c r="E131">
        <v>2.0209999999999999</v>
      </c>
      <c r="F131" s="33">
        <v>4.0800000000000003E-2</v>
      </c>
      <c r="G131">
        <v>1.786</v>
      </c>
      <c r="H131">
        <v>5.1100000000000003</v>
      </c>
      <c r="I131">
        <v>8.57</v>
      </c>
      <c r="J131">
        <v>-18.88</v>
      </c>
      <c r="K131">
        <v>8.31</v>
      </c>
      <c r="L131">
        <v>8.0500000000000007</v>
      </c>
      <c r="M131" s="33">
        <v>0.2359</v>
      </c>
      <c r="N131" s="33">
        <v>0.18079999999999999</v>
      </c>
      <c r="O131">
        <v>2.2599999999999998</v>
      </c>
      <c r="P131" s="33">
        <v>0.33079999999999998</v>
      </c>
      <c r="Q131" s="33">
        <v>0.63680000000000003</v>
      </c>
      <c r="R131" s="34">
        <v>70776200</v>
      </c>
      <c r="S131" s="34">
        <v>1133950000</v>
      </c>
      <c r="T131">
        <v>1.1299999999999999</v>
      </c>
      <c r="U131" s="33">
        <v>0.34849999999999998</v>
      </c>
    </row>
    <row r="132" spans="1:21" x14ac:dyDescent="0.25">
      <c r="A132" t="s">
        <v>71</v>
      </c>
      <c r="B132">
        <v>2.56</v>
      </c>
      <c r="C132">
        <v>-17.61</v>
      </c>
      <c r="D132">
        <v>2.59</v>
      </c>
      <c r="E132">
        <v>0.93200000000000005</v>
      </c>
      <c r="F132" s="33">
        <v>0</v>
      </c>
      <c r="G132">
        <v>0.36</v>
      </c>
      <c r="H132">
        <v>-4.45</v>
      </c>
      <c r="I132">
        <v>11.72</v>
      </c>
      <c r="J132">
        <v>-1.27</v>
      </c>
      <c r="K132">
        <v>13.14</v>
      </c>
      <c r="L132">
        <v>4.45</v>
      </c>
      <c r="M132" s="33">
        <v>7.9600000000000004E-2</v>
      </c>
      <c r="N132" s="33">
        <v>-5.2900000000000003E-2</v>
      </c>
      <c r="O132">
        <v>0.88</v>
      </c>
      <c r="P132" s="33">
        <v>4.1700000000000001E-2</v>
      </c>
      <c r="Q132" s="33">
        <v>-0.1472</v>
      </c>
      <c r="R132" s="34">
        <v>37098500</v>
      </c>
      <c r="S132" s="34">
        <v>519227000</v>
      </c>
      <c r="T132">
        <v>1.0900000000000001</v>
      </c>
      <c r="U132" s="33">
        <v>0.35599999999999998</v>
      </c>
    </row>
    <row r="133" spans="1:21" x14ac:dyDescent="0.25">
      <c r="A133" t="s">
        <v>56</v>
      </c>
      <c r="B133">
        <v>14.6</v>
      </c>
      <c r="C133">
        <v>11.06</v>
      </c>
      <c r="D133">
        <v>3.12</v>
      </c>
      <c r="E133">
        <v>0</v>
      </c>
      <c r="F133" s="33">
        <v>7.85E-2</v>
      </c>
      <c r="G133">
        <v>3.073</v>
      </c>
      <c r="H133">
        <v>24.13</v>
      </c>
      <c r="I133">
        <v>-341.96</v>
      </c>
      <c r="J133">
        <v>24.18</v>
      </c>
      <c r="K133">
        <v>-332.55</v>
      </c>
      <c r="L133">
        <v>-332.57</v>
      </c>
      <c r="M133" s="33">
        <v>0</v>
      </c>
      <c r="N133" s="33">
        <v>0</v>
      </c>
      <c r="O133">
        <v>9.32</v>
      </c>
      <c r="P133" s="33">
        <v>-9.7999999999999997E-3</v>
      </c>
      <c r="Q133" s="33">
        <v>0.28220000000000001</v>
      </c>
      <c r="R133" s="34">
        <v>73607100</v>
      </c>
      <c r="S133" s="34">
        <v>14032600000</v>
      </c>
      <c r="T133">
        <v>0</v>
      </c>
      <c r="U133" s="33">
        <v>0</v>
      </c>
    </row>
    <row r="134" spans="1:21" x14ac:dyDescent="0.25">
      <c r="A134" t="s">
        <v>55</v>
      </c>
      <c r="B134">
        <v>25.5</v>
      </c>
      <c r="C134">
        <v>5.73</v>
      </c>
      <c r="D134">
        <v>1.05</v>
      </c>
      <c r="E134">
        <v>1.173</v>
      </c>
      <c r="F134" s="33">
        <v>4.19E-2</v>
      </c>
      <c r="G134">
        <v>0.44800000000000001</v>
      </c>
      <c r="H134">
        <v>1.1299999999999999</v>
      </c>
      <c r="I134">
        <v>6.39</v>
      </c>
      <c r="J134">
        <v>10.27</v>
      </c>
      <c r="K134">
        <v>8.35</v>
      </c>
      <c r="L134">
        <v>7.93</v>
      </c>
      <c r="M134" s="33">
        <v>0.18360000000000001</v>
      </c>
      <c r="N134" s="33">
        <v>0.17449999999999999</v>
      </c>
      <c r="O134">
        <v>3.36</v>
      </c>
      <c r="P134" s="33">
        <v>8.2600000000000007E-2</v>
      </c>
      <c r="Q134" s="33">
        <v>0.18279999999999999</v>
      </c>
      <c r="R134" s="34">
        <v>151426000</v>
      </c>
      <c r="S134" s="34">
        <v>9350230000</v>
      </c>
      <c r="T134">
        <v>0.64</v>
      </c>
      <c r="U134" s="33">
        <v>0.18590000000000001</v>
      </c>
    </row>
    <row r="135" spans="1:21" x14ac:dyDescent="0.25">
      <c r="A135" t="s">
        <v>255</v>
      </c>
      <c r="B135">
        <v>1.54</v>
      </c>
      <c r="C135">
        <v>-1.7</v>
      </c>
      <c r="D135">
        <v>0.25</v>
      </c>
      <c r="E135">
        <v>0.125</v>
      </c>
      <c r="F135" s="33">
        <v>0</v>
      </c>
      <c r="G135">
        <v>6.8000000000000005E-2</v>
      </c>
      <c r="H135">
        <v>0.39</v>
      </c>
      <c r="I135">
        <v>1.8</v>
      </c>
      <c r="J135">
        <v>-0.19</v>
      </c>
      <c r="K135">
        <v>10.210000000000001</v>
      </c>
      <c r="L135">
        <v>4.49</v>
      </c>
      <c r="M135" s="33">
        <v>6.9699999999999998E-2</v>
      </c>
      <c r="N135" s="33">
        <v>-7.3400000000000007E-2</v>
      </c>
      <c r="O135">
        <v>1.92</v>
      </c>
      <c r="P135" s="33">
        <v>4.6100000000000002E-2</v>
      </c>
      <c r="Q135" s="33">
        <v>-0.14549999999999999</v>
      </c>
      <c r="R135" s="34">
        <v>1159700</v>
      </c>
      <c r="S135" s="34">
        <v>7813960000</v>
      </c>
      <c r="T135">
        <v>1.61</v>
      </c>
      <c r="U135" s="33">
        <v>0.1711</v>
      </c>
    </row>
    <row r="136" spans="1:21" x14ac:dyDescent="0.25">
      <c r="A136" t="s">
        <v>107</v>
      </c>
      <c r="B136">
        <v>9.5299999999999994</v>
      </c>
      <c r="C136">
        <v>12.22</v>
      </c>
      <c r="D136">
        <v>0.81</v>
      </c>
      <c r="E136">
        <v>0.95599999999999996</v>
      </c>
      <c r="F136" s="33">
        <v>3.8999999999999998E-3</v>
      </c>
      <c r="G136">
        <v>0.308</v>
      </c>
      <c r="H136">
        <v>6.62</v>
      </c>
      <c r="I136">
        <v>3.26</v>
      </c>
      <c r="J136">
        <v>-0.7</v>
      </c>
      <c r="K136">
        <v>6.36</v>
      </c>
      <c r="L136">
        <v>3.83</v>
      </c>
      <c r="M136" s="33">
        <v>0.29360000000000003</v>
      </c>
      <c r="N136" s="33">
        <v>8.7300000000000003E-2</v>
      </c>
      <c r="O136">
        <v>1.37</v>
      </c>
      <c r="P136" s="33">
        <v>0.108</v>
      </c>
      <c r="Q136" s="33">
        <v>6.59E-2</v>
      </c>
      <c r="R136" s="34">
        <v>2310330</v>
      </c>
      <c r="S136" s="34">
        <v>1369920000</v>
      </c>
      <c r="T136">
        <v>1.02</v>
      </c>
      <c r="U136" s="33">
        <v>0.36709999999999998</v>
      </c>
    </row>
    <row r="137" spans="1:21" x14ac:dyDescent="0.25">
      <c r="A137" t="s">
        <v>58</v>
      </c>
      <c r="B137">
        <v>9.4700000000000006</v>
      </c>
      <c r="C137">
        <v>6.62</v>
      </c>
      <c r="D137">
        <v>1.04</v>
      </c>
      <c r="E137">
        <v>0.51100000000000001</v>
      </c>
      <c r="F137" s="33">
        <v>5.5599999999999997E-2</v>
      </c>
      <c r="G137">
        <v>0.63700000000000001</v>
      </c>
      <c r="H137">
        <v>1.45</v>
      </c>
      <c r="I137">
        <v>6.65</v>
      </c>
      <c r="J137">
        <v>2.35</v>
      </c>
      <c r="K137">
        <v>6.42</v>
      </c>
      <c r="L137">
        <v>5.31</v>
      </c>
      <c r="M137" s="33">
        <v>7.6899999999999996E-2</v>
      </c>
      <c r="N137" s="33">
        <v>7.9000000000000001E-2</v>
      </c>
      <c r="O137">
        <v>3.06</v>
      </c>
      <c r="P137" s="33">
        <v>0.13239999999999999</v>
      </c>
      <c r="Q137" s="33">
        <v>0.15640000000000001</v>
      </c>
      <c r="R137" s="34">
        <v>939694</v>
      </c>
      <c r="S137" s="34">
        <v>999766000</v>
      </c>
      <c r="T137">
        <v>0.24</v>
      </c>
      <c r="U137" s="33">
        <v>0.1051</v>
      </c>
    </row>
    <row r="138" spans="1:21" x14ac:dyDescent="0.25">
      <c r="A138" t="s">
        <v>379</v>
      </c>
      <c r="B138">
        <v>9.18</v>
      </c>
      <c r="C138">
        <v>6.42</v>
      </c>
      <c r="D138">
        <v>1</v>
      </c>
      <c r="E138">
        <v>0.495</v>
      </c>
      <c r="F138" s="33">
        <v>5.8500000000000003E-2</v>
      </c>
      <c r="G138">
        <v>0.61799999999999999</v>
      </c>
      <c r="H138">
        <v>1.4</v>
      </c>
      <c r="I138">
        <v>6.44</v>
      </c>
      <c r="J138">
        <v>2.2799999999999998</v>
      </c>
      <c r="K138">
        <v>6.21</v>
      </c>
      <c r="L138">
        <v>5.14</v>
      </c>
      <c r="M138" s="33">
        <v>7.6899999999999996E-2</v>
      </c>
      <c r="N138" s="33">
        <v>7.9000000000000001E-2</v>
      </c>
      <c r="O138">
        <v>3.06</v>
      </c>
      <c r="P138" s="33">
        <v>0.13239999999999999</v>
      </c>
      <c r="Q138" s="33">
        <v>0.15640000000000001</v>
      </c>
      <c r="R138" s="34">
        <v>103063</v>
      </c>
      <c r="S138" s="34">
        <v>999766000</v>
      </c>
      <c r="T138">
        <v>0.24</v>
      </c>
      <c r="U138" s="33">
        <v>0.1051</v>
      </c>
    </row>
    <row r="139" spans="1:21" x14ac:dyDescent="0.25">
      <c r="A139" t="s">
        <v>120</v>
      </c>
      <c r="B139">
        <v>42.02</v>
      </c>
      <c r="C139">
        <v>11.17</v>
      </c>
      <c r="D139">
        <v>3.35</v>
      </c>
      <c r="E139">
        <v>2.04</v>
      </c>
      <c r="F139" s="33">
        <v>7.9200000000000007E-2</v>
      </c>
      <c r="G139">
        <v>0.68700000000000006</v>
      </c>
      <c r="H139">
        <v>2.11</v>
      </c>
      <c r="I139">
        <v>9.2200000000000006</v>
      </c>
      <c r="J139">
        <v>-2.0499999999999998</v>
      </c>
      <c r="K139">
        <v>9.66</v>
      </c>
      <c r="L139">
        <v>8.85</v>
      </c>
      <c r="M139" s="33">
        <v>0.22140000000000001</v>
      </c>
      <c r="N139" s="33">
        <v>0.2099</v>
      </c>
      <c r="O139">
        <v>3.82</v>
      </c>
      <c r="P139" s="33">
        <v>8.9499999999999996E-2</v>
      </c>
      <c r="Q139" s="33">
        <v>0.29959999999999998</v>
      </c>
      <c r="R139" s="34">
        <v>75413100</v>
      </c>
      <c r="S139" s="34">
        <v>2178390000</v>
      </c>
      <c r="T139">
        <v>0.91</v>
      </c>
      <c r="U139" s="33">
        <v>0.2064</v>
      </c>
    </row>
    <row r="140" spans="1:21" x14ac:dyDescent="0.25">
      <c r="A140" t="s">
        <v>9</v>
      </c>
      <c r="B140">
        <v>5.42</v>
      </c>
      <c r="C140">
        <v>10.99</v>
      </c>
      <c r="D140">
        <v>0.31</v>
      </c>
      <c r="E140">
        <v>0.122</v>
      </c>
      <c r="F140" s="33">
        <v>0</v>
      </c>
      <c r="G140">
        <v>0.15</v>
      </c>
      <c r="H140">
        <v>6.5</v>
      </c>
      <c r="I140">
        <v>4.33</v>
      </c>
      <c r="J140">
        <v>-0.76</v>
      </c>
      <c r="K140">
        <v>4.4000000000000004</v>
      </c>
      <c r="L140">
        <v>1.5</v>
      </c>
      <c r="M140" s="33">
        <v>2.8199999999999999E-2</v>
      </c>
      <c r="N140" s="33">
        <v>1.11E-2</v>
      </c>
      <c r="O140">
        <v>1.08</v>
      </c>
      <c r="P140" s="33">
        <v>4.3799999999999999E-2</v>
      </c>
      <c r="Q140" s="33">
        <v>2.7799999999999998E-2</v>
      </c>
      <c r="R140" s="34">
        <v>514418</v>
      </c>
      <c r="S140" s="34">
        <v>896843000</v>
      </c>
      <c r="T140">
        <v>0.04</v>
      </c>
      <c r="U140" s="33">
        <v>0.23039999999999999</v>
      </c>
    </row>
    <row r="141" spans="1:21" x14ac:dyDescent="0.25">
      <c r="A141" t="s">
        <v>380</v>
      </c>
      <c r="B141">
        <v>6.51</v>
      </c>
      <c r="C141">
        <v>-117.73</v>
      </c>
      <c r="D141">
        <v>0.71</v>
      </c>
      <c r="E141">
        <v>0.77</v>
      </c>
      <c r="F141" s="33">
        <v>0</v>
      </c>
      <c r="G141">
        <v>0.495</v>
      </c>
      <c r="H141">
        <v>1.03</v>
      </c>
      <c r="I141">
        <v>-15.12</v>
      </c>
      <c r="J141">
        <v>1.83</v>
      </c>
      <c r="K141">
        <v>-17.440000000000001</v>
      </c>
      <c r="L141">
        <v>-51.74</v>
      </c>
      <c r="M141" s="33">
        <v>-5.0900000000000001E-2</v>
      </c>
      <c r="N141" s="33">
        <v>-6.4999999999999997E-3</v>
      </c>
      <c r="O141">
        <v>6</v>
      </c>
      <c r="P141" s="33">
        <v>-3.6600000000000001E-2</v>
      </c>
      <c r="Q141" s="33">
        <v>-6.0000000000000001E-3</v>
      </c>
      <c r="R141" s="34">
        <v>76.760000000000005</v>
      </c>
      <c r="S141" s="34">
        <v>693418000</v>
      </c>
      <c r="T141">
        <v>0.22</v>
      </c>
      <c r="U141" s="33">
        <v>7.3000000000000001E-3</v>
      </c>
    </row>
    <row r="142" spans="1:21" x14ac:dyDescent="0.25">
      <c r="A142" t="s">
        <v>134</v>
      </c>
      <c r="B142">
        <v>4</v>
      </c>
      <c r="C142">
        <v>-72.34</v>
      </c>
      <c r="D142">
        <v>0.44</v>
      </c>
      <c r="E142">
        <v>0.47299999999999998</v>
      </c>
      <c r="F142" s="33">
        <v>0</v>
      </c>
      <c r="G142">
        <v>0.30399999999999999</v>
      </c>
      <c r="H142">
        <v>0.64</v>
      </c>
      <c r="I142">
        <v>-9.2899999999999991</v>
      </c>
      <c r="J142">
        <v>1.1200000000000001</v>
      </c>
      <c r="K142">
        <v>-11.61</v>
      </c>
      <c r="L142">
        <v>-34.450000000000003</v>
      </c>
      <c r="M142" s="33">
        <v>-5.0900000000000001E-2</v>
      </c>
      <c r="N142" s="33">
        <v>-6.4999999999999997E-3</v>
      </c>
      <c r="O142">
        <v>6</v>
      </c>
      <c r="P142" s="33">
        <v>-3.6600000000000001E-2</v>
      </c>
      <c r="Q142" s="33">
        <v>-6.0000000000000001E-3</v>
      </c>
      <c r="R142" s="34">
        <v>8500.15</v>
      </c>
      <c r="S142" s="34">
        <v>693418000</v>
      </c>
      <c r="T142">
        <v>0.22</v>
      </c>
      <c r="U142" s="33">
        <v>7.3000000000000001E-3</v>
      </c>
    </row>
    <row r="143" spans="1:21" x14ac:dyDescent="0.25">
      <c r="A143" t="s">
        <v>259</v>
      </c>
      <c r="B143">
        <v>7.99</v>
      </c>
      <c r="C143">
        <v>-14.63</v>
      </c>
      <c r="D143">
        <v>-0.43</v>
      </c>
      <c r="E143">
        <v>0.65600000000000003</v>
      </c>
      <c r="F143" s="33">
        <v>0</v>
      </c>
      <c r="G143">
        <v>0.56499999999999995</v>
      </c>
      <c r="H143">
        <v>-0.48</v>
      </c>
      <c r="I143">
        <v>15.42</v>
      </c>
      <c r="J143">
        <v>-0.28999999999999998</v>
      </c>
      <c r="K143">
        <v>20.11</v>
      </c>
      <c r="L143">
        <v>3.84</v>
      </c>
      <c r="M143" s="33">
        <v>4.2500000000000003E-2</v>
      </c>
      <c r="N143" s="33">
        <v>-4.48E-2</v>
      </c>
      <c r="O143">
        <v>0.23</v>
      </c>
      <c r="P143" s="33">
        <v>5.8299999999999998E-2</v>
      </c>
      <c r="Q143" s="33">
        <v>2.9399999999999999E-2</v>
      </c>
      <c r="R143" s="34">
        <v>110200</v>
      </c>
      <c r="S143" s="34">
        <v>-247366000</v>
      </c>
      <c r="T143">
        <v>-0.23</v>
      </c>
      <c r="U143" s="33">
        <v>7.1099999999999997E-2</v>
      </c>
    </row>
    <row r="144" spans="1:21" x14ac:dyDescent="0.25">
      <c r="A144" t="s">
        <v>381</v>
      </c>
      <c r="B144">
        <v>3.75</v>
      </c>
      <c r="C144">
        <v>-48.31</v>
      </c>
      <c r="D144">
        <v>36.68</v>
      </c>
      <c r="E144">
        <v>6.8140000000000001</v>
      </c>
      <c r="F144" s="33">
        <v>0</v>
      </c>
      <c r="G144">
        <v>5.0739999999999998</v>
      </c>
      <c r="H144">
        <v>11.45</v>
      </c>
      <c r="I144">
        <v>-50.23</v>
      </c>
      <c r="J144">
        <v>104.35</v>
      </c>
      <c r="K144">
        <v>-48.93</v>
      </c>
      <c r="L144">
        <v>-325.27</v>
      </c>
      <c r="M144" s="33">
        <v>-0.13569999999999999</v>
      </c>
      <c r="N144" s="33">
        <v>-0.14099999999999999</v>
      </c>
      <c r="O144">
        <v>1.95</v>
      </c>
      <c r="P144" s="33">
        <v>-0.1195</v>
      </c>
      <c r="Q144" s="33">
        <v>-0.75919999999999999</v>
      </c>
      <c r="R144" s="34">
        <v>1203.1199999999999</v>
      </c>
      <c r="S144" s="34">
        <v>1138000</v>
      </c>
      <c r="T144">
        <v>0</v>
      </c>
      <c r="U144" s="33">
        <v>-0.16789999999999999</v>
      </c>
    </row>
    <row r="145" spans="1:21" x14ac:dyDescent="0.25">
      <c r="A145" t="s">
        <v>149</v>
      </c>
      <c r="B145">
        <v>5.9</v>
      </c>
      <c r="C145">
        <v>18.78</v>
      </c>
      <c r="D145">
        <v>0.7</v>
      </c>
      <c r="E145">
        <v>0.59</v>
      </c>
      <c r="F145" s="33">
        <v>9.1000000000000004E-3</v>
      </c>
      <c r="G145">
        <v>0.26900000000000002</v>
      </c>
      <c r="H145">
        <v>3.7</v>
      </c>
      <c r="I145">
        <v>6.17</v>
      </c>
      <c r="J145">
        <v>-0.8</v>
      </c>
      <c r="K145">
        <v>12.59</v>
      </c>
      <c r="L145">
        <v>4.96</v>
      </c>
      <c r="M145" s="33">
        <v>9.5699999999999993E-2</v>
      </c>
      <c r="N145" s="33">
        <v>3.27E-2</v>
      </c>
      <c r="O145">
        <v>1.37</v>
      </c>
      <c r="P145" s="33">
        <v>5.11E-2</v>
      </c>
      <c r="Q145" s="33">
        <v>3.7499999999999999E-2</v>
      </c>
      <c r="R145" s="34">
        <v>14934900</v>
      </c>
      <c r="S145" s="34">
        <v>6872730000</v>
      </c>
      <c r="T145">
        <v>0.95</v>
      </c>
      <c r="U145" s="33">
        <v>3.61E-2</v>
      </c>
    </row>
    <row r="146" spans="1:21" x14ac:dyDescent="0.25">
      <c r="A146" t="s">
        <v>382</v>
      </c>
      <c r="B146">
        <v>14.76</v>
      </c>
      <c r="C146">
        <v>3.51</v>
      </c>
      <c r="D146">
        <v>0.99</v>
      </c>
      <c r="E146">
        <v>0.56499999999999995</v>
      </c>
      <c r="F146" s="33">
        <v>3.8800000000000001E-2</v>
      </c>
      <c r="G146">
        <v>0.51500000000000001</v>
      </c>
      <c r="H146">
        <v>5.58</v>
      </c>
      <c r="I146">
        <v>3.55</v>
      </c>
      <c r="J146">
        <v>-10.63</v>
      </c>
      <c r="K146">
        <v>4.5999999999999996</v>
      </c>
      <c r="L146">
        <v>3.66</v>
      </c>
      <c r="M146" s="33">
        <v>0.15939999999999999</v>
      </c>
      <c r="N146" s="33">
        <v>0.1613</v>
      </c>
      <c r="O146">
        <v>1.27</v>
      </c>
      <c r="P146" s="33">
        <v>0.15529999999999999</v>
      </c>
      <c r="Q146" s="33">
        <v>0.28110000000000002</v>
      </c>
      <c r="R146" s="34">
        <v>23072.1</v>
      </c>
      <c r="S146" s="34">
        <v>337052000</v>
      </c>
      <c r="T146">
        <v>0.32</v>
      </c>
      <c r="U146" s="33">
        <v>0.1925</v>
      </c>
    </row>
    <row r="147" spans="1:21" x14ac:dyDescent="0.25">
      <c r="A147" t="s">
        <v>74</v>
      </c>
      <c r="B147">
        <v>14.57</v>
      </c>
      <c r="C147">
        <v>3.46</v>
      </c>
      <c r="D147">
        <v>0.97</v>
      </c>
      <c r="E147">
        <v>0.55800000000000005</v>
      </c>
      <c r="F147" s="33">
        <v>4.3299999999999998E-2</v>
      </c>
      <c r="G147">
        <v>0.50900000000000001</v>
      </c>
      <c r="H147">
        <v>5.51</v>
      </c>
      <c r="I147">
        <v>3.5</v>
      </c>
      <c r="J147">
        <v>-10.49</v>
      </c>
      <c r="K147">
        <v>4.55</v>
      </c>
      <c r="L147">
        <v>3.62</v>
      </c>
      <c r="M147" s="33">
        <v>0.15939999999999999</v>
      </c>
      <c r="N147" s="33">
        <v>0.1613</v>
      </c>
      <c r="O147">
        <v>1.27</v>
      </c>
      <c r="P147" s="33">
        <v>0.15529999999999999</v>
      </c>
      <c r="Q147" s="33">
        <v>0.28110000000000002</v>
      </c>
      <c r="R147" s="34">
        <v>192135</v>
      </c>
      <c r="S147" s="34">
        <v>337052000</v>
      </c>
      <c r="T147">
        <v>0.32</v>
      </c>
      <c r="U147" s="33">
        <v>0.1925</v>
      </c>
    </row>
    <row r="148" spans="1:21" x14ac:dyDescent="0.25">
      <c r="A148" t="s">
        <v>192</v>
      </c>
      <c r="B148">
        <v>7.03</v>
      </c>
      <c r="C148">
        <v>5.97</v>
      </c>
      <c r="D148">
        <v>1.37</v>
      </c>
      <c r="E148">
        <v>0.48099999999999998</v>
      </c>
      <c r="F148" s="33">
        <v>0</v>
      </c>
      <c r="G148">
        <v>0.151</v>
      </c>
      <c r="H148">
        <v>-9.4700000000000006</v>
      </c>
      <c r="I148">
        <v>1.34</v>
      </c>
      <c r="J148">
        <v>-0.21</v>
      </c>
      <c r="K148">
        <v>6.6</v>
      </c>
      <c r="L148">
        <v>5.0999999999999996</v>
      </c>
      <c r="M148" s="33">
        <v>0.35809999999999997</v>
      </c>
      <c r="N148" s="33">
        <v>7.9899999999999999E-2</v>
      </c>
      <c r="O148">
        <v>0.9</v>
      </c>
      <c r="P148" s="33">
        <v>0.12909999999999999</v>
      </c>
      <c r="Q148" s="33">
        <v>0.2293</v>
      </c>
      <c r="R148" s="34">
        <v>33855100</v>
      </c>
      <c r="S148" s="34">
        <v>3574010000</v>
      </c>
      <c r="T148">
        <v>6.44</v>
      </c>
      <c r="U148" s="33">
        <v>0.28670000000000001</v>
      </c>
    </row>
    <row r="149" spans="1:21" x14ac:dyDescent="0.25">
      <c r="A149" t="s">
        <v>78</v>
      </c>
      <c r="B149">
        <v>40.94</v>
      </c>
      <c r="C149">
        <v>9.93</v>
      </c>
      <c r="D149">
        <v>2.76</v>
      </c>
      <c r="E149">
        <v>2.8740000000000001</v>
      </c>
      <c r="F149" s="33">
        <v>5.6800000000000003E-2</v>
      </c>
      <c r="G149">
        <v>0.63300000000000001</v>
      </c>
      <c r="H149">
        <v>17.61</v>
      </c>
      <c r="I149">
        <v>5.83</v>
      </c>
      <c r="J149">
        <v>-1.08</v>
      </c>
      <c r="K149">
        <v>9.36</v>
      </c>
      <c r="L149">
        <v>7.8</v>
      </c>
      <c r="M149" s="33">
        <v>0.49340000000000001</v>
      </c>
      <c r="N149" s="33">
        <v>0.2964</v>
      </c>
      <c r="O149">
        <v>1.27</v>
      </c>
      <c r="P149" s="33">
        <v>0.1239</v>
      </c>
      <c r="Q149" s="33">
        <v>0.27839999999999998</v>
      </c>
      <c r="R149" s="34">
        <v>59876700</v>
      </c>
      <c r="S149" s="34">
        <v>12083000000</v>
      </c>
      <c r="T149">
        <v>2.14</v>
      </c>
      <c r="U149" s="33">
        <v>-3.7199999999999997E-2</v>
      </c>
    </row>
    <row r="150" spans="1:21" x14ac:dyDescent="0.25">
      <c r="A150" t="s">
        <v>383</v>
      </c>
      <c r="B150">
        <v>35</v>
      </c>
      <c r="C150">
        <v>7.28</v>
      </c>
      <c r="D150">
        <v>2.97</v>
      </c>
      <c r="E150">
        <v>0.72099999999999997</v>
      </c>
      <c r="F150" s="33">
        <v>0.12659999999999999</v>
      </c>
      <c r="G150">
        <v>0.55400000000000005</v>
      </c>
      <c r="H150">
        <v>-33.57</v>
      </c>
      <c r="I150">
        <v>3.02</v>
      </c>
      <c r="J150">
        <v>-1.03</v>
      </c>
      <c r="K150">
        <v>5.92</v>
      </c>
      <c r="L150">
        <v>5.01</v>
      </c>
      <c r="M150" s="33">
        <v>0.23880000000000001</v>
      </c>
      <c r="N150" s="33">
        <v>9.8900000000000002E-2</v>
      </c>
      <c r="O150">
        <v>0.94</v>
      </c>
      <c r="P150" s="33">
        <v>0.20849999999999999</v>
      </c>
      <c r="Q150" s="33">
        <v>0.40739999999999998</v>
      </c>
      <c r="R150" s="34">
        <v>1537.54</v>
      </c>
      <c r="S150" s="34">
        <v>2285000000</v>
      </c>
      <c r="T150">
        <v>3.16</v>
      </c>
      <c r="U150" s="33">
        <v>5.5100000000000003E-2</v>
      </c>
    </row>
    <row r="151" spans="1:21" x14ac:dyDescent="0.25">
      <c r="A151" t="s">
        <v>384</v>
      </c>
      <c r="B151">
        <v>49.27</v>
      </c>
      <c r="C151">
        <v>10.25</v>
      </c>
      <c r="D151">
        <v>4.18</v>
      </c>
      <c r="E151">
        <v>1.0149999999999999</v>
      </c>
      <c r="F151" s="33">
        <v>9.8900000000000002E-2</v>
      </c>
      <c r="G151">
        <v>0.78</v>
      </c>
      <c r="H151">
        <v>-47.26</v>
      </c>
      <c r="I151">
        <v>4.25</v>
      </c>
      <c r="J151">
        <v>-1.45</v>
      </c>
      <c r="K151">
        <v>7.15</v>
      </c>
      <c r="L151">
        <v>6.06</v>
      </c>
      <c r="M151" s="33">
        <v>0.23880000000000001</v>
      </c>
      <c r="N151" s="33">
        <v>9.8900000000000002E-2</v>
      </c>
      <c r="O151">
        <v>0.94</v>
      </c>
      <c r="P151" s="33">
        <v>0.20849999999999999</v>
      </c>
      <c r="Q151" s="33">
        <v>0.40739999999999998</v>
      </c>
      <c r="R151" s="34">
        <v>7898.41</v>
      </c>
      <c r="S151" s="34">
        <v>2285000000</v>
      </c>
      <c r="T151">
        <v>3.16</v>
      </c>
      <c r="U151" s="33">
        <v>5.5100000000000003E-2</v>
      </c>
    </row>
    <row r="152" spans="1:21" x14ac:dyDescent="0.25">
      <c r="A152" t="s">
        <v>118</v>
      </c>
      <c r="B152">
        <v>41.39</v>
      </c>
      <c r="C152">
        <v>9.85</v>
      </c>
      <c r="D152">
        <v>0.79</v>
      </c>
      <c r="E152">
        <v>2.2799999999999998</v>
      </c>
      <c r="F152" s="33">
        <v>4.2500000000000003E-2</v>
      </c>
      <c r="G152">
        <v>0.33900000000000002</v>
      </c>
      <c r="H152">
        <v>2.95</v>
      </c>
      <c r="I152">
        <v>6.78</v>
      </c>
      <c r="J152">
        <v>-0.93</v>
      </c>
      <c r="K152">
        <v>9.6300000000000008</v>
      </c>
      <c r="L152">
        <v>7.46</v>
      </c>
      <c r="M152" s="33">
        <v>0.33650000000000002</v>
      </c>
      <c r="N152" s="33">
        <v>0.23150000000000001</v>
      </c>
      <c r="O152">
        <v>2.29</v>
      </c>
      <c r="P152" s="33">
        <v>5.6599999999999998E-2</v>
      </c>
      <c r="Q152" s="33">
        <v>7.9799999999999996E-2</v>
      </c>
      <c r="R152" s="34">
        <v>321848000</v>
      </c>
      <c r="S152" s="34">
        <v>121494000000</v>
      </c>
      <c r="T152">
        <v>0.57999999999999996</v>
      </c>
      <c r="U152" s="33">
        <v>6.1199999999999997E-2</v>
      </c>
    </row>
    <row r="153" spans="1:21" x14ac:dyDescent="0.25">
      <c r="A153" t="s">
        <v>385</v>
      </c>
      <c r="B153">
        <v>46.15</v>
      </c>
      <c r="C153">
        <v>10.98</v>
      </c>
      <c r="D153">
        <v>0.88</v>
      </c>
      <c r="E153">
        <v>2.5419999999999998</v>
      </c>
      <c r="F153" s="33">
        <v>4.19E-2</v>
      </c>
      <c r="G153">
        <v>0.378</v>
      </c>
      <c r="H153">
        <v>3.29</v>
      </c>
      <c r="I153">
        <v>7.56</v>
      </c>
      <c r="J153">
        <v>-1.03</v>
      </c>
      <c r="K153">
        <v>10.41</v>
      </c>
      <c r="L153">
        <v>8.06</v>
      </c>
      <c r="M153" s="33">
        <v>0.33650000000000002</v>
      </c>
      <c r="N153" s="33">
        <v>0.23150000000000001</v>
      </c>
      <c r="O153">
        <v>2.29</v>
      </c>
      <c r="P153" s="33">
        <v>5.6599999999999998E-2</v>
      </c>
      <c r="Q153" s="33">
        <v>7.9799999999999996E-2</v>
      </c>
      <c r="R153" s="34">
        <v>68854100</v>
      </c>
      <c r="S153" s="34">
        <v>121494000000</v>
      </c>
      <c r="T153">
        <v>0.57999999999999996</v>
      </c>
      <c r="U153" s="33">
        <v>6.1199999999999997E-2</v>
      </c>
    </row>
    <row r="154" spans="1:21" x14ac:dyDescent="0.25">
      <c r="A154" t="s">
        <v>386</v>
      </c>
      <c r="B154">
        <v>31.5</v>
      </c>
      <c r="C154">
        <v>40.380000000000003</v>
      </c>
      <c r="D154">
        <v>4.5999999999999996</v>
      </c>
      <c r="E154">
        <v>3.6120000000000001</v>
      </c>
      <c r="F154" s="33">
        <v>6.1999999999999998E-3</v>
      </c>
      <c r="G154">
        <v>1.4159999999999999</v>
      </c>
      <c r="H154">
        <v>10.4</v>
      </c>
      <c r="I154">
        <v>13.75</v>
      </c>
      <c r="J154">
        <v>-4.5599999999999996</v>
      </c>
      <c r="K154">
        <v>16.190000000000001</v>
      </c>
      <c r="L154">
        <v>11.8</v>
      </c>
      <c r="M154" s="33">
        <v>0.2626</v>
      </c>
      <c r="N154" s="33">
        <v>0.1144</v>
      </c>
      <c r="O154">
        <v>1.76</v>
      </c>
      <c r="P154" s="33">
        <v>0.13800000000000001</v>
      </c>
      <c r="Q154" s="33">
        <v>0.114</v>
      </c>
      <c r="R154" s="34">
        <v>2710130</v>
      </c>
      <c r="S154" s="34">
        <v>983781000</v>
      </c>
      <c r="T154">
        <v>1.45</v>
      </c>
      <c r="U154" s="33">
        <v>0.52680000000000005</v>
      </c>
    </row>
    <row r="155" spans="1:21" x14ac:dyDescent="0.25">
      <c r="A155" t="s">
        <v>387</v>
      </c>
      <c r="B155">
        <v>31</v>
      </c>
      <c r="C155">
        <v>17.2</v>
      </c>
      <c r="D155">
        <v>0.93</v>
      </c>
      <c r="E155">
        <v>1.857</v>
      </c>
      <c r="F155" s="33">
        <v>2.7099999999999999E-2</v>
      </c>
      <c r="G155">
        <v>0.53200000000000003</v>
      </c>
      <c r="H155">
        <v>2.44</v>
      </c>
      <c r="I155">
        <v>14.51</v>
      </c>
      <c r="J155">
        <v>-3.94</v>
      </c>
      <c r="K155">
        <v>11.14</v>
      </c>
      <c r="L155">
        <v>9.84</v>
      </c>
      <c r="M155" s="33">
        <v>0.128</v>
      </c>
      <c r="N155" s="33">
        <v>0.108</v>
      </c>
      <c r="O155">
        <v>3.91</v>
      </c>
      <c r="P155" s="33">
        <v>4.2000000000000003E-2</v>
      </c>
      <c r="Q155" s="33">
        <v>5.4100000000000002E-2</v>
      </c>
      <c r="R155" s="34">
        <v>141156</v>
      </c>
      <c r="S155" s="34">
        <v>1231320000</v>
      </c>
      <c r="T155">
        <v>0</v>
      </c>
      <c r="U155" s="33">
        <v>7.4399999999999994E-2</v>
      </c>
    </row>
    <row r="156" spans="1:21" x14ac:dyDescent="0.25">
      <c r="A156" t="s">
        <v>165</v>
      </c>
      <c r="B156">
        <v>66.7</v>
      </c>
      <c r="C156">
        <v>22.35</v>
      </c>
      <c r="D156">
        <v>2.7</v>
      </c>
      <c r="E156">
        <v>1.321</v>
      </c>
      <c r="F156" s="33">
        <v>1.1000000000000001E-3</v>
      </c>
      <c r="G156">
        <v>0.73499999999999999</v>
      </c>
      <c r="H156">
        <v>5.65</v>
      </c>
      <c r="I156">
        <v>12.9</v>
      </c>
      <c r="J156">
        <v>-4.37</v>
      </c>
      <c r="K156">
        <v>13.93</v>
      </c>
      <c r="L156">
        <v>10.18</v>
      </c>
      <c r="M156" s="33">
        <v>0.1024</v>
      </c>
      <c r="N156" s="33">
        <v>5.9700000000000003E-2</v>
      </c>
      <c r="O156">
        <v>1.32</v>
      </c>
      <c r="P156" s="33">
        <v>7.2900000000000006E-2</v>
      </c>
      <c r="Q156" s="33">
        <v>0.1207</v>
      </c>
      <c r="R156" s="34">
        <v>277769000</v>
      </c>
      <c r="S156" s="34">
        <v>18314200000</v>
      </c>
      <c r="T156">
        <v>0.64</v>
      </c>
      <c r="U156" s="33">
        <v>0.1338</v>
      </c>
    </row>
    <row r="157" spans="1:21" x14ac:dyDescent="0.25">
      <c r="A157" t="s">
        <v>155</v>
      </c>
      <c r="B157">
        <v>13.92</v>
      </c>
      <c r="C157">
        <v>55.21</v>
      </c>
      <c r="D157">
        <v>1.41</v>
      </c>
      <c r="E157">
        <v>1.9490000000000001</v>
      </c>
      <c r="F157" s="33">
        <v>0</v>
      </c>
      <c r="G157">
        <v>0.49299999999999999</v>
      </c>
      <c r="H157">
        <v>7.2</v>
      </c>
      <c r="I157">
        <v>8.8000000000000007</v>
      </c>
      <c r="J157">
        <v>-1.1599999999999999</v>
      </c>
      <c r="K157">
        <v>13.52</v>
      </c>
      <c r="L157">
        <v>8.34</v>
      </c>
      <c r="M157" s="33">
        <v>0.2215</v>
      </c>
      <c r="N157" s="33">
        <v>6.8900000000000003E-2</v>
      </c>
      <c r="O157">
        <v>1.53</v>
      </c>
      <c r="P157" s="33">
        <v>6.3299999999999995E-2</v>
      </c>
      <c r="Q157" s="33">
        <v>2.5499999999999998E-2</v>
      </c>
      <c r="R157" s="34">
        <v>174366000</v>
      </c>
      <c r="S157" s="34">
        <v>19137700000</v>
      </c>
      <c r="T157">
        <v>1</v>
      </c>
      <c r="U157" s="33">
        <v>0.42749999999999999</v>
      </c>
    </row>
    <row r="158" spans="1:21" x14ac:dyDescent="0.25">
      <c r="A158" t="s">
        <v>388</v>
      </c>
      <c r="B158">
        <v>47.36</v>
      </c>
      <c r="C158">
        <v>5.92</v>
      </c>
      <c r="D158">
        <v>1.21</v>
      </c>
      <c r="E158">
        <v>0.63500000000000001</v>
      </c>
      <c r="F158" s="33">
        <v>6.1199999999999997E-2</v>
      </c>
      <c r="G158">
        <v>0.27700000000000002</v>
      </c>
      <c r="H158">
        <v>4.33</v>
      </c>
      <c r="I158">
        <v>3.45</v>
      </c>
      <c r="J158">
        <v>-0.57999999999999996</v>
      </c>
      <c r="K158">
        <v>7.92</v>
      </c>
      <c r="L158">
        <v>6.05</v>
      </c>
      <c r="M158" s="33">
        <v>0.18410000000000001</v>
      </c>
      <c r="N158" s="33">
        <v>0.1326</v>
      </c>
      <c r="O158">
        <v>1.38</v>
      </c>
      <c r="P158" s="33">
        <v>9.3700000000000006E-2</v>
      </c>
      <c r="Q158" s="33">
        <v>0.2036</v>
      </c>
      <c r="R158" s="34">
        <v>140160000</v>
      </c>
      <c r="S158" s="34">
        <v>17989300000</v>
      </c>
      <c r="T158">
        <v>2.04</v>
      </c>
      <c r="U158" s="33">
        <v>0.1101</v>
      </c>
    </row>
    <row r="159" spans="1:21" x14ac:dyDescent="0.25">
      <c r="A159" t="s">
        <v>389</v>
      </c>
      <c r="B159">
        <v>12.37</v>
      </c>
      <c r="C159">
        <v>7.73</v>
      </c>
      <c r="D159">
        <v>1.57</v>
      </c>
      <c r="E159">
        <v>0.82899999999999996</v>
      </c>
      <c r="F159" s="33">
        <v>4.6899999999999997E-2</v>
      </c>
      <c r="G159">
        <v>0.36199999999999999</v>
      </c>
      <c r="H159">
        <v>5.65</v>
      </c>
      <c r="I159">
        <v>4.51</v>
      </c>
      <c r="J159">
        <v>-0.76</v>
      </c>
      <c r="K159">
        <v>8.9700000000000006</v>
      </c>
      <c r="L159">
        <v>6.86</v>
      </c>
      <c r="M159" s="33">
        <v>0.18410000000000001</v>
      </c>
      <c r="N159" s="33">
        <v>0.1326</v>
      </c>
      <c r="O159">
        <v>1.38</v>
      </c>
      <c r="P159" s="33">
        <v>9.3700000000000006E-2</v>
      </c>
      <c r="Q159" s="33">
        <v>0.2036</v>
      </c>
      <c r="R159" s="34">
        <v>50846.3</v>
      </c>
      <c r="S159" s="34">
        <v>17989300000</v>
      </c>
      <c r="T159">
        <v>2.04</v>
      </c>
      <c r="U159" s="33">
        <v>0.1101</v>
      </c>
    </row>
    <row r="160" spans="1:21" x14ac:dyDescent="0.25">
      <c r="A160" t="s">
        <v>166</v>
      </c>
      <c r="B160">
        <v>8.82</v>
      </c>
      <c r="C160">
        <v>5.51</v>
      </c>
      <c r="D160">
        <v>1.1200000000000001</v>
      </c>
      <c r="E160">
        <v>0.59099999999999997</v>
      </c>
      <c r="F160" s="33">
        <v>6.5799999999999997E-2</v>
      </c>
      <c r="G160">
        <v>0.25800000000000001</v>
      </c>
      <c r="H160">
        <v>4.03</v>
      </c>
      <c r="I160">
        <v>3.21</v>
      </c>
      <c r="J160">
        <v>-0.54</v>
      </c>
      <c r="K160">
        <v>7.68</v>
      </c>
      <c r="L160">
        <v>5.87</v>
      </c>
      <c r="M160" s="33">
        <v>0.18410000000000001</v>
      </c>
      <c r="N160" s="33">
        <v>0.1326</v>
      </c>
      <c r="O160">
        <v>1.38</v>
      </c>
      <c r="P160" s="33">
        <v>9.3700000000000006E-2</v>
      </c>
      <c r="Q160" s="33">
        <v>0.2036</v>
      </c>
      <c r="R160" s="34">
        <v>75496.7</v>
      </c>
      <c r="S160" s="34">
        <v>17989300000</v>
      </c>
      <c r="T160">
        <v>2.04</v>
      </c>
      <c r="U160" s="33">
        <v>0.1101</v>
      </c>
    </row>
    <row r="161" spans="1:21" x14ac:dyDescent="0.25">
      <c r="A161" t="s">
        <v>230</v>
      </c>
      <c r="B161">
        <v>1.29</v>
      </c>
      <c r="C161">
        <v>-12.69</v>
      </c>
      <c r="D161">
        <v>0.84</v>
      </c>
      <c r="E161">
        <v>1</v>
      </c>
      <c r="F161" s="33">
        <v>0</v>
      </c>
      <c r="G161">
        <v>0.628</v>
      </c>
      <c r="H161">
        <v>1.63</v>
      </c>
      <c r="I161">
        <v>-8.2899999999999991</v>
      </c>
      <c r="J161">
        <v>2.0499999999999998</v>
      </c>
      <c r="K161">
        <v>-2.12</v>
      </c>
      <c r="L161">
        <v>12.3</v>
      </c>
      <c r="M161" s="33">
        <v>-0.1207</v>
      </c>
      <c r="N161" s="33">
        <v>-7.8799999999999995E-2</v>
      </c>
      <c r="O161">
        <v>3.2</v>
      </c>
      <c r="P161" s="33">
        <v>-0.1643</v>
      </c>
      <c r="Q161" s="33">
        <v>-6.6400000000000001E-2</v>
      </c>
      <c r="R161" s="34">
        <v>1606530</v>
      </c>
      <c r="S161" s="34">
        <v>313950000</v>
      </c>
      <c r="T161">
        <v>0</v>
      </c>
      <c r="U161" s="33">
        <v>0.34839999999999999</v>
      </c>
    </row>
    <row r="162" spans="1:21" x14ac:dyDescent="0.25">
      <c r="A162" t="s">
        <v>390</v>
      </c>
      <c r="B162">
        <v>70</v>
      </c>
      <c r="C162">
        <v>15.25</v>
      </c>
      <c r="D162">
        <v>3.81</v>
      </c>
      <c r="E162">
        <v>1.8520000000000001</v>
      </c>
      <c r="F162" s="33">
        <v>5.8200000000000002E-2</v>
      </c>
      <c r="G162">
        <v>1.071</v>
      </c>
      <c r="H162">
        <v>10.85</v>
      </c>
      <c r="I162">
        <v>8.91</v>
      </c>
      <c r="J162">
        <v>-2.42</v>
      </c>
      <c r="K162">
        <v>12.32</v>
      </c>
      <c r="L162">
        <v>10.28</v>
      </c>
      <c r="M162" s="33">
        <v>0.20780000000000001</v>
      </c>
      <c r="N162" s="33">
        <v>0.1215</v>
      </c>
      <c r="O162">
        <v>1.56</v>
      </c>
      <c r="P162" s="33">
        <v>0.14069999999999999</v>
      </c>
      <c r="Q162" s="33">
        <v>0.25009999999999999</v>
      </c>
      <c r="R162" s="34">
        <v>11294</v>
      </c>
      <c r="S162" s="34">
        <v>4019070000</v>
      </c>
      <c r="T162">
        <v>1.83</v>
      </c>
      <c r="U162" s="33">
        <v>9.1300000000000006E-2</v>
      </c>
    </row>
    <row r="163" spans="1:21" x14ac:dyDescent="0.25">
      <c r="A163" t="s">
        <v>391</v>
      </c>
      <c r="B163">
        <v>79.989999999999995</v>
      </c>
      <c r="C163">
        <v>17.420000000000002</v>
      </c>
      <c r="D163">
        <v>4.3600000000000003</v>
      </c>
      <c r="E163">
        <v>2.1160000000000001</v>
      </c>
      <c r="F163" s="33">
        <v>5.0999999999999997E-2</v>
      </c>
      <c r="G163">
        <v>1.224</v>
      </c>
      <c r="H163">
        <v>12.39</v>
      </c>
      <c r="I163">
        <v>10.18</v>
      </c>
      <c r="J163">
        <v>-2.76</v>
      </c>
      <c r="K163">
        <v>13.6</v>
      </c>
      <c r="L163">
        <v>11.34</v>
      </c>
      <c r="M163" s="33">
        <v>0.20780000000000001</v>
      </c>
      <c r="N163" s="33">
        <v>0.1215</v>
      </c>
      <c r="O163">
        <v>1.56</v>
      </c>
      <c r="P163" s="33">
        <v>0.14069999999999999</v>
      </c>
      <c r="Q163" s="33">
        <v>0.25009999999999999</v>
      </c>
      <c r="R163" s="34">
        <v>382.9</v>
      </c>
      <c r="S163" s="34">
        <v>4019070000</v>
      </c>
      <c r="T163">
        <v>1.83</v>
      </c>
      <c r="U163" s="33">
        <v>9.1300000000000006E-2</v>
      </c>
    </row>
    <row r="164" spans="1:21" x14ac:dyDescent="0.25">
      <c r="A164" t="s">
        <v>233</v>
      </c>
      <c r="B164">
        <v>4.63</v>
      </c>
      <c r="C164">
        <v>11.99</v>
      </c>
      <c r="D164">
        <v>1.26</v>
      </c>
      <c r="E164">
        <v>9.7569999999999997</v>
      </c>
      <c r="F164" s="33">
        <v>0.39679999999999999</v>
      </c>
      <c r="G164">
        <v>0.997</v>
      </c>
      <c r="H164">
        <v>4.29</v>
      </c>
      <c r="I164">
        <v>-10.68</v>
      </c>
      <c r="J164">
        <v>23.64</v>
      </c>
      <c r="K164">
        <v>-8.4499999999999993</v>
      </c>
      <c r="L164">
        <v>-10.7</v>
      </c>
      <c r="M164" s="33">
        <v>-0.91390000000000005</v>
      </c>
      <c r="N164" s="33">
        <v>0.81379999999999997</v>
      </c>
      <c r="O164">
        <v>13.71</v>
      </c>
      <c r="P164" s="33">
        <v>-0.11840000000000001</v>
      </c>
      <c r="Q164" s="33">
        <v>0.105</v>
      </c>
      <c r="R164" s="34">
        <v>40992</v>
      </c>
      <c r="S164" s="34">
        <v>54645000</v>
      </c>
      <c r="T164">
        <v>0</v>
      </c>
      <c r="U164" s="33">
        <v>-0.63080000000000003</v>
      </c>
    </row>
    <row r="165" spans="1:21" x14ac:dyDescent="0.25">
      <c r="A165" t="s">
        <v>392</v>
      </c>
      <c r="B165">
        <v>28.18</v>
      </c>
      <c r="C165">
        <v>6.35</v>
      </c>
      <c r="D165">
        <v>1.0900000000000001</v>
      </c>
      <c r="E165">
        <v>0.72399999999999998</v>
      </c>
      <c r="F165" s="33">
        <v>9.7199999999999995E-2</v>
      </c>
      <c r="G165">
        <v>0.42099999999999999</v>
      </c>
      <c r="H165">
        <v>5.71</v>
      </c>
      <c r="I165">
        <v>3.52</v>
      </c>
      <c r="J165">
        <v>-1.17</v>
      </c>
      <c r="K165">
        <v>5.9</v>
      </c>
      <c r="L165">
        <v>4.71</v>
      </c>
      <c r="M165" s="33">
        <v>0.20580000000000001</v>
      </c>
      <c r="N165" s="33">
        <v>0.1139</v>
      </c>
      <c r="O165">
        <v>1.4</v>
      </c>
      <c r="P165" s="33">
        <v>0.14169999999999999</v>
      </c>
      <c r="Q165" s="33">
        <v>0.1721</v>
      </c>
      <c r="R165" s="34">
        <v>6150.05</v>
      </c>
      <c r="S165" s="34">
        <v>4231080000</v>
      </c>
      <c r="T165">
        <v>1.02</v>
      </c>
      <c r="U165" s="33">
        <v>9.1200000000000003E-2</v>
      </c>
    </row>
    <row r="166" spans="1:21" x14ac:dyDescent="0.25">
      <c r="A166" t="s">
        <v>393</v>
      </c>
      <c r="B166">
        <v>5.72</v>
      </c>
      <c r="C166">
        <v>6.52</v>
      </c>
      <c r="D166">
        <v>2.35</v>
      </c>
      <c r="E166">
        <v>1.1319999999999999</v>
      </c>
      <c r="F166" s="33">
        <v>0.1152</v>
      </c>
      <c r="G166">
        <v>0.73</v>
      </c>
      <c r="H166">
        <v>8.5500000000000007</v>
      </c>
      <c r="I166">
        <v>4.28</v>
      </c>
      <c r="J166">
        <v>-2.0299999999999998</v>
      </c>
      <c r="K166">
        <v>5.74</v>
      </c>
      <c r="L166">
        <v>5.0199999999999996</v>
      </c>
      <c r="M166" s="33">
        <v>0.26429999999999998</v>
      </c>
      <c r="N166" s="33">
        <v>0.17369999999999999</v>
      </c>
      <c r="O166">
        <v>1.35</v>
      </c>
      <c r="P166" s="33">
        <v>0.21609999999999999</v>
      </c>
      <c r="Q166" s="33">
        <v>0.36009999999999998</v>
      </c>
      <c r="R166" s="34">
        <v>90765.5</v>
      </c>
      <c r="S166" s="34">
        <v>5385610000</v>
      </c>
      <c r="T166">
        <v>1.27</v>
      </c>
      <c r="U166" s="33">
        <v>0.1515</v>
      </c>
    </row>
    <row r="167" spans="1:21" x14ac:dyDescent="0.25">
      <c r="A167" t="s">
        <v>394</v>
      </c>
      <c r="B167">
        <v>7.45</v>
      </c>
      <c r="C167">
        <v>8.49</v>
      </c>
      <c r="D167">
        <v>3.06</v>
      </c>
      <c r="E167">
        <v>1.474</v>
      </c>
      <c r="F167" s="33">
        <v>8.8400000000000006E-2</v>
      </c>
      <c r="G167">
        <v>0.95099999999999996</v>
      </c>
      <c r="H167">
        <v>11.14</v>
      </c>
      <c r="I167">
        <v>5.58</v>
      </c>
      <c r="J167">
        <v>-2.64</v>
      </c>
      <c r="K167">
        <v>7.04</v>
      </c>
      <c r="L167">
        <v>6.16</v>
      </c>
      <c r="M167" s="33">
        <v>0.26429999999999998</v>
      </c>
      <c r="N167" s="33">
        <v>0.17369999999999999</v>
      </c>
      <c r="O167">
        <v>1.35</v>
      </c>
      <c r="P167" s="33">
        <v>0.21609999999999999</v>
      </c>
      <c r="Q167" s="33">
        <v>0.36009999999999998</v>
      </c>
      <c r="R167" s="34">
        <v>290.73</v>
      </c>
      <c r="S167" s="34">
        <v>5385610000</v>
      </c>
      <c r="T167">
        <v>1.27</v>
      </c>
      <c r="U167" s="33">
        <v>0.1515</v>
      </c>
    </row>
    <row r="168" spans="1:21" x14ac:dyDescent="0.25">
      <c r="A168" t="s">
        <v>3</v>
      </c>
      <c r="B168">
        <v>8.25</v>
      </c>
      <c r="C168">
        <v>9.4</v>
      </c>
      <c r="D168">
        <v>3.38</v>
      </c>
      <c r="E168">
        <v>1.633</v>
      </c>
      <c r="F168" s="33">
        <v>7.9799999999999996E-2</v>
      </c>
      <c r="G168">
        <v>1.054</v>
      </c>
      <c r="H168">
        <v>12.34</v>
      </c>
      <c r="I168">
        <v>6.18</v>
      </c>
      <c r="J168">
        <v>-2.93</v>
      </c>
      <c r="K168">
        <v>7.64</v>
      </c>
      <c r="L168">
        <v>6.68</v>
      </c>
      <c r="M168" s="33">
        <v>0.26429999999999998</v>
      </c>
      <c r="N168" s="33">
        <v>0.17369999999999999</v>
      </c>
      <c r="O168">
        <v>1.35</v>
      </c>
      <c r="P168" s="33">
        <v>0.21609999999999999</v>
      </c>
      <c r="Q168" s="33">
        <v>0.36009999999999998</v>
      </c>
      <c r="R168" s="34">
        <v>80.489999999999995</v>
      </c>
      <c r="S168" s="34">
        <v>5385610000</v>
      </c>
      <c r="T168">
        <v>1.27</v>
      </c>
      <c r="U168" s="33">
        <v>0.1515</v>
      </c>
    </row>
    <row r="169" spans="1:21" x14ac:dyDescent="0.25">
      <c r="A169" t="s">
        <v>81</v>
      </c>
      <c r="B169">
        <v>36.68</v>
      </c>
      <c r="C169">
        <v>14.89</v>
      </c>
      <c r="D169">
        <v>1.72</v>
      </c>
      <c r="E169">
        <v>0.97499999999999998</v>
      </c>
      <c r="F169" s="33">
        <v>2.1499999999999998E-2</v>
      </c>
      <c r="G169">
        <v>0.39700000000000002</v>
      </c>
      <c r="H169">
        <v>8.92</v>
      </c>
      <c r="I169">
        <v>4.6500000000000004</v>
      </c>
      <c r="J169">
        <v>-0.78</v>
      </c>
      <c r="K169">
        <v>9.1</v>
      </c>
      <c r="L169">
        <v>7.38</v>
      </c>
      <c r="M169" s="33">
        <v>0.20960000000000001</v>
      </c>
      <c r="N169" s="33">
        <v>8.2600000000000007E-2</v>
      </c>
      <c r="O169">
        <v>1.24</v>
      </c>
      <c r="P169" s="33">
        <v>9.8000000000000004E-2</v>
      </c>
      <c r="Q169" s="33">
        <v>0.1153</v>
      </c>
      <c r="R169" s="34">
        <v>299991000</v>
      </c>
      <c r="S169" s="34">
        <v>26784000000</v>
      </c>
      <c r="T169">
        <v>2.0299999999999998</v>
      </c>
      <c r="U169" s="33">
        <v>0.27089999999999997</v>
      </c>
    </row>
    <row r="170" spans="1:21" x14ac:dyDescent="0.25">
      <c r="A170" t="s">
        <v>180</v>
      </c>
      <c r="B170">
        <v>1.02</v>
      </c>
      <c r="C170">
        <v>42.36</v>
      </c>
      <c r="D170">
        <v>0.42</v>
      </c>
      <c r="E170">
        <v>0.35599999999999998</v>
      </c>
      <c r="F170" s="33">
        <v>1.6000000000000001E-3</v>
      </c>
      <c r="G170">
        <v>0.161</v>
      </c>
      <c r="H170">
        <v>1.07</v>
      </c>
      <c r="I170">
        <v>2.48</v>
      </c>
      <c r="J170">
        <v>-1</v>
      </c>
      <c r="K170">
        <v>6.77</v>
      </c>
      <c r="L170">
        <v>4.25</v>
      </c>
      <c r="M170" s="33">
        <v>0.14380000000000001</v>
      </c>
      <c r="N170" s="33">
        <v>7.9000000000000008E-3</v>
      </c>
      <c r="O170">
        <v>1.48</v>
      </c>
      <c r="P170" s="33">
        <v>7.2300000000000003E-2</v>
      </c>
      <c r="Q170" s="33">
        <v>0.01</v>
      </c>
      <c r="R170" s="34">
        <v>589093</v>
      </c>
      <c r="S170" s="34">
        <v>867856000</v>
      </c>
      <c r="T170">
        <v>0.98</v>
      </c>
      <c r="U170" s="33">
        <v>0.1706</v>
      </c>
    </row>
    <row r="171" spans="1:21" x14ac:dyDescent="0.25">
      <c r="A171" t="s">
        <v>395</v>
      </c>
      <c r="B171">
        <v>4.0999999999999996</v>
      </c>
      <c r="C171">
        <v>-1.25</v>
      </c>
      <c r="D171">
        <v>-0.06</v>
      </c>
      <c r="E171">
        <v>0.20200000000000001</v>
      </c>
      <c r="F171" s="33">
        <v>0</v>
      </c>
      <c r="G171">
        <v>0.10100000000000001</v>
      </c>
      <c r="H171">
        <v>-0.04</v>
      </c>
      <c r="I171">
        <v>-4.9400000000000004</v>
      </c>
      <c r="J171">
        <v>-0.04</v>
      </c>
      <c r="K171">
        <v>-20.309999999999999</v>
      </c>
      <c r="L171">
        <v>-27.73</v>
      </c>
      <c r="M171" s="33">
        <v>-4.0899999999999999E-2</v>
      </c>
      <c r="N171" s="33">
        <v>-0.16170000000000001</v>
      </c>
      <c r="O171">
        <v>0.14000000000000001</v>
      </c>
      <c r="P171" s="33">
        <v>-2.18E-2</v>
      </c>
      <c r="Q171" s="33">
        <v>4.6300000000000001E-2</v>
      </c>
      <c r="R171" s="34">
        <v>901.63</v>
      </c>
      <c r="S171" s="34">
        <v>-573005000</v>
      </c>
      <c r="T171">
        <v>-0.18</v>
      </c>
      <c r="U171" s="33">
        <v>9.4000000000000004E-3</v>
      </c>
    </row>
    <row r="172" spans="1:21" x14ac:dyDescent="0.25">
      <c r="A172" t="s">
        <v>186</v>
      </c>
      <c r="B172">
        <v>4.16</v>
      </c>
      <c r="C172">
        <v>9.25</v>
      </c>
      <c r="D172">
        <v>0.32</v>
      </c>
      <c r="E172">
        <v>0.218</v>
      </c>
      <c r="F172" s="33">
        <v>3.0200000000000001E-2</v>
      </c>
      <c r="G172">
        <v>0.19700000000000001</v>
      </c>
      <c r="H172">
        <v>1.18</v>
      </c>
      <c r="I172">
        <v>12.18</v>
      </c>
      <c r="J172">
        <v>20.98</v>
      </c>
      <c r="K172">
        <v>17.47</v>
      </c>
      <c r="L172">
        <v>4.99</v>
      </c>
      <c r="M172" s="33">
        <v>1.7899999999999999E-2</v>
      </c>
      <c r="N172" s="33">
        <v>2.3599999999999999E-2</v>
      </c>
      <c r="O172">
        <v>1.72</v>
      </c>
      <c r="P172" s="33">
        <v>1.78E-2</v>
      </c>
      <c r="Q172" s="33">
        <v>3.49E-2</v>
      </c>
      <c r="R172" s="34">
        <v>387029</v>
      </c>
      <c r="S172" s="34">
        <v>795309000</v>
      </c>
      <c r="T172">
        <v>0.17</v>
      </c>
      <c r="U172" s="33">
        <v>6.88E-2</v>
      </c>
    </row>
    <row r="173" spans="1:21" x14ac:dyDescent="0.25">
      <c r="A173" t="s">
        <v>396</v>
      </c>
      <c r="B173">
        <v>18.600000000000001</v>
      </c>
      <c r="C173">
        <v>7.16</v>
      </c>
      <c r="D173">
        <v>0.65</v>
      </c>
      <c r="E173">
        <v>0.58199999999999996</v>
      </c>
      <c r="F173" s="33">
        <v>3.5900000000000001E-2</v>
      </c>
      <c r="G173">
        <v>0.35499999999999998</v>
      </c>
      <c r="H173">
        <v>1.75</v>
      </c>
      <c r="I173">
        <v>3.97</v>
      </c>
      <c r="J173">
        <v>-6.03</v>
      </c>
      <c r="K173">
        <v>5.31</v>
      </c>
      <c r="L173">
        <v>3.51</v>
      </c>
      <c r="M173" s="33">
        <v>0.1467</v>
      </c>
      <c r="N173" s="33">
        <v>8.1299999999999997E-2</v>
      </c>
      <c r="O173">
        <v>2.06</v>
      </c>
      <c r="P173" s="33">
        <v>0.10580000000000001</v>
      </c>
      <c r="Q173" s="33">
        <v>9.0700000000000003E-2</v>
      </c>
      <c r="R173" s="34">
        <v>14891.7</v>
      </c>
      <c r="S173" s="34">
        <v>2652920000</v>
      </c>
      <c r="T173">
        <v>0.4</v>
      </c>
      <c r="U173" s="33">
        <v>9.1399999999999995E-2</v>
      </c>
    </row>
    <row r="174" spans="1:21" x14ac:dyDescent="0.25">
      <c r="A174" t="s">
        <v>11</v>
      </c>
      <c r="B174">
        <v>18.579999999999998</v>
      </c>
      <c r="C174">
        <v>7.15</v>
      </c>
      <c r="D174">
        <v>0.65</v>
      </c>
      <c r="E174">
        <v>0.58099999999999996</v>
      </c>
      <c r="F174" s="33">
        <v>3.9600000000000003E-2</v>
      </c>
      <c r="G174">
        <v>0.35399999999999998</v>
      </c>
      <c r="H174">
        <v>1.75</v>
      </c>
      <c r="I174">
        <v>3.96</v>
      </c>
      <c r="J174">
        <v>-6.03</v>
      </c>
      <c r="K174">
        <v>5.31</v>
      </c>
      <c r="L174">
        <v>3.5</v>
      </c>
      <c r="M174" s="33">
        <v>0.1467</v>
      </c>
      <c r="N174" s="33">
        <v>8.1299999999999997E-2</v>
      </c>
      <c r="O174">
        <v>2.06</v>
      </c>
      <c r="P174" s="33">
        <v>0.10580000000000001</v>
      </c>
      <c r="Q174" s="33">
        <v>9.0700000000000003E-2</v>
      </c>
      <c r="R174" s="34">
        <v>1036390</v>
      </c>
      <c r="S174" s="34">
        <v>2652920000</v>
      </c>
      <c r="T174">
        <v>0.4</v>
      </c>
      <c r="U174" s="33">
        <v>9.1399999999999995E-2</v>
      </c>
    </row>
    <row r="175" spans="1:21" x14ac:dyDescent="0.25">
      <c r="A175" t="s">
        <v>122</v>
      </c>
      <c r="B175">
        <v>7.67</v>
      </c>
      <c r="C175">
        <v>49.36</v>
      </c>
      <c r="D175">
        <v>0.81</v>
      </c>
      <c r="E175">
        <v>0.83099999999999996</v>
      </c>
      <c r="F175" s="33">
        <v>5.2200000000000003E-2</v>
      </c>
      <c r="G175">
        <v>0.29799999999999999</v>
      </c>
      <c r="H175">
        <v>0.48</v>
      </c>
      <c r="I175">
        <v>5.26</v>
      </c>
      <c r="J175">
        <v>1.26</v>
      </c>
      <c r="K175">
        <v>6.1</v>
      </c>
      <c r="L175">
        <v>6.03</v>
      </c>
      <c r="M175" s="33">
        <v>0.15820000000000001</v>
      </c>
      <c r="N175" s="33">
        <v>5.6500000000000002E-2</v>
      </c>
      <c r="O175">
        <v>4.38</v>
      </c>
      <c r="P175" s="33">
        <v>6.93E-2</v>
      </c>
      <c r="Q175" s="33">
        <v>1.6500000000000001E-2</v>
      </c>
      <c r="R175" s="34">
        <v>6480930</v>
      </c>
      <c r="S175" s="34">
        <v>1885180000</v>
      </c>
      <c r="T175">
        <v>0.59</v>
      </c>
      <c r="U175" s="33">
        <v>2.75E-2</v>
      </c>
    </row>
    <row r="176" spans="1:21" x14ac:dyDescent="0.25">
      <c r="A176" t="s">
        <v>90</v>
      </c>
      <c r="B176">
        <v>13.76</v>
      </c>
      <c r="C176">
        <v>6.88</v>
      </c>
      <c r="D176">
        <v>0.62</v>
      </c>
      <c r="E176">
        <v>1.863</v>
      </c>
      <c r="F176" s="33">
        <v>8.5000000000000006E-2</v>
      </c>
      <c r="G176">
        <v>0.437</v>
      </c>
      <c r="H176">
        <v>1.1499999999999999</v>
      </c>
      <c r="I176">
        <v>9.92</v>
      </c>
      <c r="J176">
        <v>2.86</v>
      </c>
      <c r="K176">
        <v>11.21</v>
      </c>
      <c r="L176">
        <v>10.32</v>
      </c>
      <c r="M176" s="33">
        <v>0.18779999999999999</v>
      </c>
      <c r="N176" s="33">
        <v>0.28749999999999998</v>
      </c>
      <c r="O176">
        <v>7.71</v>
      </c>
      <c r="P176" s="33">
        <v>5.3499999999999999E-2</v>
      </c>
      <c r="Q176" s="33">
        <v>9.0200000000000002E-2</v>
      </c>
      <c r="R176" s="34">
        <v>25208400</v>
      </c>
      <c r="S176" s="34">
        <v>4898440000</v>
      </c>
      <c r="T176">
        <v>0.32</v>
      </c>
      <c r="U176" s="33">
        <v>0.1333</v>
      </c>
    </row>
    <row r="177" spans="1:21" x14ac:dyDescent="0.25">
      <c r="A177" t="s">
        <v>397</v>
      </c>
      <c r="B177">
        <v>12.35</v>
      </c>
      <c r="C177">
        <v>14.05</v>
      </c>
      <c r="D177">
        <v>1.3</v>
      </c>
      <c r="E177">
        <v>1.9159999999999999</v>
      </c>
      <c r="F177" s="33">
        <v>3.6799999999999999E-2</v>
      </c>
      <c r="G177">
        <v>1.006</v>
      </c>
      <c r="H177">
        <v>3.86</v>
      </c>
      <c r="I177">
        <v>21.06</v>
      </c>
      <c r="J177">
        <v>6.21</v>
      </c>
      <c r="K177">
        <v>18.71</v>
      </c>
      <c r="L177">
        <v>8.14</v>
      </c>
      <c r="M177" s="33">
        <v>9.0999999999999998E-2</v>
      </c>
      <c r="N177" s="33">
        <v>0.13650000000000001</v>
      </c>
      <c r="O177">
        <v>3.09</v>
      </c>
      <c r="P177" s="33">
        <v>6.1600000000000002E-2</v>
      </c>
      <c r="Q177" s="33">
        <v>9.2299999999999993E-2</v>
      </c>
      <c r="R177" s="34">
        <v>3446.24</v>
      </c>
      <c r="S177" s="34">
        <v>3363440000</v>
      </c>
      <c r="T177">
        <v>0.1</v>
      </c>
      <c r="U177" s="33">
        <v>3.2500000000000001E-2</v>
      </c>
    </row>
    <row r="178" spans="1:21" x14ac:dyDescent="0.25">
      <c r="A178" t="s">
        <v>252</v>
      </c>
      <c r="B178">
        <v>7.05</v>
      </c>
      <c r="C178">
        <v>8.02</v>
      </c>
      <c r="D178">
        <v>0.74</v>
      </c>
      <c r="E178">
        <v>1.093</v>
      </c>
      <c r="F178" s="33">
        <v>7.0999999999999994E-2</v>
      </c>
      <c r="G178">
        <v>0.57399999999999995</v>
      </c>
      <c r="H178">
        <v>2.2000000000000002</v>
      </c>
      <c r="I178">
        <v>12.02</v>
      </c>
      <c r="J178">
        <v>3.54</v>
      </c>
      <c r="K178">
        <v>9.67</v>
      </c>
      <c r="L178">
        <v>4.21</v>
      </c>
      <c r="M178" s="33">
        <v>9.0999999999999998E-2</v>
      </c>
      <c r="N178" s="33">
        <v>0.13650000000000001</v>
      </c>
      <c r="O178">
        <v>3.09</v>
      </c>
      <c r="P178" s="33">
        <v>6.1600000000000002E-2</v>
      </c>
      <c r="Q178" s="33">
        <v>9.2299999999999993E-2</v>
      </c>
      <c r="R178" s="34">
        <v>4165050</v>
      </c>
      <c r="S178" s="34">
        <v>3363440000</v>
      </c>
      <c r="T178">
        <v>0.1</v>
      </c>
      <c r="U178" s="33">
        <v>3.2500000000000001E-2</v>
      </c>
    </row>
    <row r="179" spans="1:21" x14ac:dyDescent="0.25">
      <c r="A179" t="s">
        <v>227</v>
      </c>
      <c r="B179">
        <v>4.5599999999999996</v>
      </c>
      <c r="C179">
        <v>-0.26</v>
      </c>
      <c r="D179">
        <v>-0.23</v>
      </c>
      <c r="E179">
        <v>5.3999999999999999E-2</v>
      </c>
      <c r="F179" s="33">
        <v>0</v>
      </c>
      <c r="G179">
        <v>8.5000000000000006E-2</v>
      </c>
      <c r="H179">
        <v>-0.59</v>
      </c>
      <c r="I179">
        <v>-1.17</v>
      </c>
      <c r="J179">
        <v>-0.13</v>
      </c>
      <c r="K179">
        <v>-0.23</v>
      </c>
      <c r="L179">
        <v>-0.31</v>
      </c>
      <c r="M179" s="33">
        <v>-4.6100000000000002E-2</v>
      </c>
      <c r="N179" s="33">
        <v>-0.20930000000000001</v>
      </c>
      <c r="O179">
        <v>0.83</v>
      </c>
      <c r="P179" s="33">
        <v>-0.39689999999999998</v>
      </c>
      <c r="Q179" s="33">
        <v>0.87439999999999996</v>
      </c>
      <c r="R179" s="34">
        <v>225271</v>
      </c>
      <c r="S179" s="34">
        <v>-1087650000</v>
      </c>
      <c r="T179">
        <v>-0.02</v>
      </c>
      <c r="U179" s="33">
        <v>0.1242</v>
      </c>
    </row>
    <row r="180" spans="1:21" x14ac:dyDescent="0.25">
      <c r="A180" t="s">
        <v>398</v>
      </c>
      <c r="B180">
        <v>3.73</v>
      </c>
      <c r="C180">
        <v>-3.64</v>
      </c>
      <c r="D180">
        <v>-9.75</v>
      </c>
      <c r="E180">
        <v>-7.3609999999999998</v>
      </c>
      <c r="F180" s="33">
        <v>0</v>
      </c>
      <c r="G180">
        <v>19.975999999999999</v>
      </c>
      <c r="H180">
        <v>-68.349999999999994</v>
      </c>
      <c r="I180">
        <v>-17.78</v>
      </c>
      <c r="J180">
        <v>-6.58</v>
      </c>
      <c r="K180">
        <v>-18.66</v>
      </c>
      <c r="L180">
        <v>-17.8</v>
      </c>
      <c r="M180" s="33">
        <v>0.41389999999999999</v>
      </c>
      <c r="N180" s="33">
        <v>2.0249999999999999</v>
      </c>
      <c r="O180">
        <v>0.03</v>
      </c>
      <c r="P180" s="33">
        <v>-1.1304000000000001</v>
      </c>
      <c r="Q180" s="33">
        <v>2.6833999999999998</v>
      </c>
      <c r="R180" s="34">
        <v>119408</v>
      </c>
      <c r="S180" s="34">
        <v>-9103000</v>
      </c>
      <c r="T180">
        <v>-0.48</v>
      </c>
      <c r="U180" s="33">
        <v>-0.1394</v>
      </c>
    </row>
    <row r="181" spans="1:21" x14ac:dyDescent="0.25">
      <c r="A181" t="s">
        <v>399</v>
      </c>
      <c r="B181">
        <v>11</v>
      </c>
      <c r="C181">
        <v>-41.89</v>
      </c>
      <c r="D181">
        <v>0.34</v>
      </c>
      <c r="E181">
        <v>10.627000000000001</v>
      </c>
      <c r="F181" s="33">
        <v>0</v>
      </c>
      <c r="G181">
        <v>0.253</v>
      </c>
      <c r="H181">
        <v>2.48</v>
      </c>
      <c r="I181">
        <v>-4.49</v>
      </c>
      <c r="J181">
        <v>-5.43</v>
      </c>
      <c r="K181">
        <v>-6.38</v>
      </c>
      <c r="L181">
        <v>-6.78</v>
      </c>
      <c r="M181" s="33">
        <v>-2.3645999999999998</v>
      </c>
      <c r="N181" s="33">
        <v>-0.25490000000000002</v>
      </c>
      <c r="O181">
        <v>2.0499999999999998</v>
      </c>
      <c r="P181" s="33">
        <v>-5.9299999999999999E-2</v>
      </c>
      <c r="Q181" s="33">
        <v>-8.0000000000000002E-3</v>
      </c>
      <c r="R181" s="34">
        <v>33419.5</v>
      </c>
      <c r="S181" s="34">
        <v>79440000</v>
      </c>
      <c r="T181">
        <v>0.15</v>
      </c>
      <c r="U181" s="33">
        <v>-2.1299999999999999E-2</v>
      </c>
    </row>
    <row r="182" spans="1:21" x14ac:dyDescent="0.25">
      <c r="A182" t="s">
        <v>400</v>
      </c>
      <c r="B182">
        <v>3.89</v>
      </c>
      <c r="C182">
        <v>8.09</v>
      </c>
      <c r="D182">
        <v>1.1499999999999999</v>
      </c>
      <c r="E182">
        <v>1.347</v>
      </c>
      <c r="F182" s="33">
        <v>6.5500000000000003E-2</v>
      </c>
      <c r="G182">
        <v>0.60699999999999998</v>
      </c>
      <c r="H182">
        <v>6.13</v>
      </c>
      <c r="I182">
        <v>5.62</v>
      </c>
      <c r="J182">
        <v>-3.13</v>
      </c>
      <c r="K182">
        <v>6.24</v>
      </c>
      <c r="L182">
        <v>3.18</v>
      </c>
      <c r="M182" s="33">
        <v>0.23960000000000001</v>
      </c>
      <c r="N182" s="33">
        <v>0.16639999999999999</v>
      </c>
      <c r="O182">
        <v>1.55</v>
      </c>
      <c r="P182" s="33">
        <v>0.1351</v>
      </c>
      <c r="Q182" s="33">
        <v>0.14269999999999999</v>
      </c>
      <c r="R182" s="34">
        <v>1623550</v>
      </c>
      <c r="S182" s="34">
        <v>1220080000</v>
      </c>
      <c r="T182">
        <v>0.47</v>
      </c>
      <c r="U182" s="33">
        <v>0.2616</v>
      </c>
    </row>
    <row r="183" spans="1:21" x14ac:dyDescent="0.25">
      <c r="A183" t="s">
        <v>51</v>
      </c>
      <c r="B183">
        <v>13</v>
      </c>
      <c r="C183">
        <v>11.34</v>
      </c>
      <c r="D183">
        <v>1.36</v>
      </c>
      <c r="E183">
        <v>0.91300000000000003</v>
      </c>
      <c r="F183" s="33">
        <v>7.8299999999999995E-2</v>
      </c>
      <c r="G183">
        <v>0.53600000000000003</v>
      </c>
      <c r="H183">
        <v>2.71</v>
      </c>
      <c r="I183">
        <v>5.92</v>
      </c>
      <c r="J183">
        <v>-2.16</v>
      </c>
      <c r="K183">
        <v>8.4499999999999993</v>
      </c>
      <c r="L183">
        <v>5.07</v>
      </c>
      <c r="M183" s="33">
        <v>0.154</v>
      </c>
      <c r="N183" s="33">
        <v>7.8399999999999997E-2</v>
      </c>
      <c r="O183">
        <v>2.29</v>
      </c>
      <c r="P183" s="33">
        <v>0.11849999999999999</v>
      </c>
      <c r="Q183" s="33">
        <v>0.1201</v>
      </c>
      <c r="R183" s="34">
        <v>37680000</v>
      </c>
      <c r="S183" s="34">
        <v>5226800000</v>
      </c>
      <c r="T183">
        <v>1.05</v>
      </c>
      <c r="U183" s="33">
        <v>0.26790000000000003</v>
      </c>
    </row>
    <row r="184" spans="1:21" x14ac:dyDescent="0.25">
      <c r="A184" t="s">
        <v>65</v>
      </c>
      <c r="B184">
        <v>27.02</v>
      </c>
      <c r="C184">
        <v>22.26</v>
      </c>
      <c r="D184">
        <v>3.42</v>
      </c>
      <c r="E184">
        <v>1.637</v>
      </c>
      <c r="F184" s="33">
        <v>1.9199999999999998E-2</v>
      </c>
      <c r="G184">
        <v>1.083</v>
      </c>
      <c r="H184">
        <v>4.09</v>
      </c>
      <c r="I184">
        <v>11.03</v>
      </c>
      <c r="J184">
        <v>-5.67</v>
      </c>
      <c r="K184">
        <v>14.07</v>
      </c>
      <c r="L184">
        <v>10.93</v>
      </c>
      <c r="M184" s="33">
        <v>0.14849999999999999</v>
      </c>
      <c r="N184" s="33">
        <v>7.5300000000000006E-2</v>
      </c>
      <c r="O184">
        <v>2.19</v>
      </c>
      <c r="P184" s="33">
        <v>0.123</v>
      </c>
      <c r="Q184" s="33">
        <v>0.15379999999999999</v>
      </c>
      <c r="R184" s="34">
        <v>10653000</v>
      </c>
      <c r="S184" s="34">
        <v>2131360000</v>
      </c>
      <c r="T184">
        <v>1.28</v>
      </c>
      <c r="U184" s="33">
        <v>0.2069</v>
      </c>
    </row>
    <row r="185" spans="1:21" x14ac:dyDescent="0.25">
      <c r="A185" t="s">
        <v>401</v>
      </c>
      <c r="B185">
        <v>279.98</v>
      </c>
      <c r="C185">
        <v>-78.44</v>
      </c>
      <c r="D185">
        <v>5.37</v>
      </c>
      <c r="E185">
        <v>0.76600000000000001</v>
      </c>
      <c r="F185" s="33">
        <v>0</v>
      </c>
      <c r="G185">
        <v>0.91200000000000003</v>
      </c>
      <c r="H185">
        <v>7.1</v>
      </c>
      <c r="I185">
        <v>19.47</v>
      </c>
      <c r="J185">
        <v>-8.7799999999999994</v>
      </c>
      <c r="K185">
        <v>27.34</v>
      </c>
      <c r="L185">
        <v>15.08</v>
      </c>
      <c r="M185" s="33">
        <v>3.9300000000000002E-2</v>
      </c>
      <c r="N185" s="33">
        <v>-1.43E-2</v>
      </c>
      <c r="O185">
        <v>1.23</v>
      </c>
      <c r="P185" s="33">
        <v>6.7299999999999999E-2</v>
      </c>
      <c r="Q185" s="33">
        <v>-6.8400000000000002E-2</v>
      </c>
      <c r="R185" s="34">
        <v>7465.76</v>
      </c>
      <c r="S185" s="34">
        <v>327983000</v>
      </c>
      <c r="T185">
        <v>2.5</v>
      </c>
      <c r="U185" s="33">
        <v>7.6799999999999993E-2</v>
      </c>
    </row>
    <row r="186" spans="1:21" x14ac:dyDescent="0.25">
      <c r="A186" t="s">
        <v>402</v>
      </c>
      <c r="B186">
        <v>32.85</v>
      </c>
      <c r="C186">
        <v>31.93</v>
      </c>
      <c r="D186">
        <v>1.83</v>
      </c>
      <c r="E186">
        <v>8.8800000000000008</v>
      </c>
      <c r="F186" s="33">
        <v>0.2135</v>
      </c>
      <c r="G186">
        <v>0.88200000000000001</v>
      </c>
      <c r="H186">
        <v>-8.32</v>
      </c>
      <c r="I186">
        <v>18.77</v>
      </c>
      <c r="J186">
        <v>-2.63</v>
      </c>
      <c r="K186">
        <v>19.920000000000002</v>
      </c>
      <c r="L186">
        <v>14.15</v>
      </c>
      <c r="M186" s="33">
        <v>0.47299999999999998</v>
      </c>
      <c r="N186" s="33">
        <v>0.27810000000000001</v>
      </c>
      <c r="O186">
        <v>0.63</v>
      </c>
      <c r="P186" s="33">
        <v>6.2899999999999998E-2</v>
      </c>
      <c r="Q186" s="33">
        <v>5.74E-2</v>
      </c>
      <c r="R186" s="34">
        <v>4320.68</v>
      </c>
      <c r="S186" s="34">
        <v>1691660000</v>
      </c>
      <c r="T186">
        <v>0.37</v>
      </c>
      <c r="U186" s="33">
        <v>-0.25559999999999999</v>
      </c>
    </row>
    <row r="187" spans="1:21" x14ac:dyDescent="0.25">
      <c r="A187" t="s">
        <v>403</v>
      </c>
      <c r="B187">
        <v>35.07</v>
      </c>
      <c r="C187">
        <v>34.090000000000003</v>
      </c>
      <c r="D187">
        <v>1.96</v>
      </c>
      <c r="E187">
        <v>9.48</v>
      </c>
      <c r="F187" s="33">
        <v>0.2</v>
      </c>
      <c r="G187">
        <v>0.94199999999999995</v>
      </c>
      <c r="H187">
        <v>-8.89</v>
      </c>
      <c r="I187">
        <v>20.04</v>
      </c>
      <c r="J187">
        <v>-2.8</v>
      </c>
      <c r="K187">
        <v>21.19</v>
      </c>
      <c r="L187">
        <v>15.05</v>
      </c>
      <c r="M187" s="33">
        <v>0.47299999999999998</v>
      </c>
      <c r="N187" s="33">
        <v>0.27810000000000001</v>
      </c>
      <c r="O187">
        <v>0.63</v>
      </c>
      <c r="P187" s="33">
        <v>6.2899999999999998E-2</v>
      </c>
      <c r="Q187" s="33">
        <v>5.74E-2</v>
      </c>
      <c r="R187" s="34">
        <v>13116.3</v>
      </c>
      <c r="S187" s="34">
        <v>1691660000</v>
      </c>
      <c r="T187">
        <v>0.37</v>
      </c>
      <c r="U187" s="33">
        <v>-0.25559999999999999</v>
      </c>
    </row>
    <row r="188" spans="1:21" x14ac:dyDescent="0.25">
      <c r="A188" t="s">
        <v>228</v>
      </c>
      <c r="B188">
        <v>1.23</v>
      </c>
      <c r="C188">
        <v>-4.22</v>
      </c>
      <c r="D188">
        <v>0.08</v>
      </c>
      <c r="E188">
        <v>0.16800000000000001</v>
      </c>
      <c r="F188" s="33">
        <v>0</v>
      </c>
      <c r="G188">
        <v>3.4000000000000002E-2</v>
      </c>
      <c r="H188">
        <v>0.14000000000000001</v>
      </c>
      <c r="I188">
        <v>-0.85</v>
      </c>
      <c r="J188">
        <v>-3.59</v>
      </c>
      <c r="K188">
        <v>-7.8</v>
      </c>
      <c r="L188">
        <v>-8.44</v>
      </c>
      <c r="M188" s="33">
        <v>-0.1966</v>
      </c>
      <c r="N188" s="33">
        <v>-0.04</v>
      </c>
      <c r="O188">
        <v>1.67</v>
      </c>
      <c r="P188" s="33">
        <v>-4.1599999999999998E-2</v>
      </c>
      <c r="Q188" s="33">
        <v>-1.9699999999999999E-2</v>
      </c>
      <c r="R188" s="34">
        <v>9344950</v>
      </c>
      <c r="S188" s="34">
        <v>1995250000</v>
      </c>
      <c r="T188">
        <v>0.75</v>
      </c>
      <c r="U188" s="33">
        <v>2.4199999999999999E-2</v>
      </c>
    </row>
    <row r="189" spans="1:21" x14ac:dyDescent="0.25">
      <c r="A189" t="s">
        <v>33</v>
      </c>
      <c r="B189">
        <v>15.29</v>
      </c>
      <c r="C189">
        <v>9.48</v>
      </c>
      <c r="D189">
        <v>0.55000000000000004</v>
      </c>
      <c r="E189">
        <v>0.45500000000000002</v>
      </c>
      <c r="F189" s="33">
        <v>4.3200000000000002E-2</v>
      </c>
      <c r="G189">
        <v>0.36199999999999999</v>
      </c>
      <c r="H189">
        <v>1.55</v>
      </c>
      <c r="I189">
        <v>4.76</v>
      </c>
      <c r="J189">
        <v>10.93</v>
      </c>
      <c r="K189">
        <v>5.93</v>
      </c>
      <c r="L189">
        <v>3.95</v>
      </c>
      <c r="M189" s="33">
        <v>9.5600000000000004E-2</v>
      </c>
      <c r="N189" s="33">
        <v>4.8500000000000001E-2</v>
      </c>
      <c r="O189">
        <v>2.64</v>
      </c>
      <c r="P189" s="33">
        <v>9.0200000000000002E-2</v>
      </c>
      <c r="Q189" s="33">
        <v>5.8400000000000001E-2</v>
      </c>
      <c r="R189" s="34">
        <v>676074</v>
      </c>
      <c r="S189" s="34">
        <v>56017100000</v>
      </c>
      <c r="T189">
        <v>0.26</v>
      </c>
      <c r="U189" s="33">
        <v>3.73E-2</v>
      </c>
    </row>
    <row r="190" spans="1:21" x14ac:dyDescent="0.25">
      <c r="A190" t="s">
        <v>48</v>
      </c>
      <c r="B190">
        <v>16.7</v>
      </c>
      <c r="C190">
        <v>10.35</v>
      </c>
      <c r="D190">
        <v>0.6</v>
      </c>
      <c r="E190">
        <v>0.497</v>
      </c>
      <c r="F190" s="33">
        <v>3.9600000000000003E-2</v>
      </c>
      <c r="G190">
        <v>0.39600000000000002</v>
      </c>
      <c r="H190">
        <v>1.69</v>
      </c>
      <c r="I190">
        <v>5.19</v>
      </c>
      <c r="J190">
        <v>11.94</v>
      </c>
      <c r="K190">
        <v>6.36</v>
      </c>
      <c r="L190">
        <v>4.24</v>
      </c>
      <c r="M190" s="33">
        <v>9.5600000000000004E-2</v>
      </c>
      <c r="N190" s="33">
        <v>4.8500000000000001E-2</v>
      </c>
      <c r="O190">
        <v>2.64</v>
      </c>
      <c r="P190" s="33">
        <v>9.0200000000000002E-2</v>
      </c>
      <c r="Q190" s="33">
        <v>5.8400000000000001E-2</v>
      </c>
      <c r="R190" s="34">
        <v>192330000</v>
      </c>
      <c r="S190" s="34">
        <v>56017100000</v>
      </c>
      <c r="T190">
        <v>0.26</v>
      </c>
      <c r="U190" s="33">
        <v>3.73E-2</v>
      </c>
    </row>
    <row r="191" spans="1:21" x14ac:dyDescent="0.25">
      <c r="A191" t="s">
        <v>99</v>
      </c>
      <c r="B191">
        <v>15.24</v>
      </c>
      <c r="C191">
        <v>15.49</v>
      </c>
      <c r="D191">
        <v>2.81</v>
      </c>
      <c r="E191">
        <v>0.65300000000000002</v>
      </c>
      <c r="F191" s="33">
        <v>2.12E-2</v>
      </c>
      <c r="G191">
        <v>0.71299999999999997</v>
      </c>
      <c r="H191">
        <v>2.35</v>
      </c>
      <c r="I191">
        <v>8.57</v>
      </c>
      <c r="J191">
        <v>-3.3</v>
      </c>
      <c r="K191">
        <v>10.220000000000001</v>
      </c>
      <c r="L191">
        <v>7.58</v>
      </c>
      <c r="M191" s="33">
        <v>7.6200000000000004E-2</v>
      </c>
      <c r="N191" s="33">
        <v>4.2700000000000002E-2</v>
      </c>
      <c r="O191">
        <v>2.34</v>
      </c>
      <c r="P191" s="33">
        <v>0.1101</v>
      </c>
      <c r="Q191" s="33">
        <v>0.18149999999999999</v>
      </c>
      <c r="R191" s="34">
        <v>55843800</v>
      </c>
      <c r="S191" s="34">
        <v>3670500000</v>
      </c>
      <c r="T191">
        <v>1.38</v>
      </c>
      <c r="U191" s="33">
        <v>0.28439999999999999</v>
      </c>
    </row>
    <row r="192" spans="1:21" x14ac:dyDescent="0.25">
      <c r="A192" t="s">
        <v>139</v>
      </c>
      <c r="B192">
        <v>7.85</v>
      </c>
      <c r="C192">
        <v>12.65</v>
      </c>
      <c r="D192">
        <v>1.76</v>
      </c>
      <c r="E192">
        <v>0.53400000000000003</v>
      </c>
      <c r="F192" s="33">
        <v>2.64E-2</v>
      </c>
      <c r="G192">
        <v>0.877</v>
      </c>
      <c r="H192">
        <v>2.4</v>
      </c>
      <c r="I192">
        <v>7.89</v>
      </c>
      <c r="J192">
        <v>6.8</v>
      </c>
      <c r="K192">
        <v>8.16</v>
      </c>
      <c r="L192">
        <v>6.99</v>
      </c>
      <c r="M192" s="33">
        <v>6.7699999999999996E-2</v>
      </c>
      <c r="N192" s="33">
        <v>4.2799999999999998E-2</v>
      </c>
      <c r="O192">
        <v>2.4</v>
      </c>
      <c r="P192" s="33">
        <v>0.1507</v>
      </c>
      <c r="Q192" s="33">
        <v>0.13930000000000001</v>
      </c>
      <c r="R192" s="34">
        <v>27276000</v>
      </c>
      <c r="S192" s="34">
        <v>10013600000</v>
      </c>
      <c r="T192">
        <v>0.21</v>
      </c>
      <c r="U192" s="33">
        <v>0.26050000000000001</v>
      </c>
    </row>
    <row r="193" spans="1:21" x14ac:dyDescent="0.25">
      <c r="A193" t="s">
        <v>43</v>
      </c>
      <c r="B193">
        <v>9.09</v>
      </c>
      <c r="C193">
        <v>8.09</v>
      </c>
      <c r="D193">
        <v>0.46</v>
      </c>
      <c r="E193">
        <v>0.13200000000000001</v>
      </c>
      <c r="F193" s="33">
        <v>3.85E-2</v>
      </c>
      <c r="G193">
        <v>0.105</v>
      </c>
      <c r="H193">
        <v>0.45</v>
      </c>
      <c r="I193">
        <v>1.39</v>
      </c>
      <c r="J193">
        <v>3.13</v>
      </c>
      <c r="K193">
        <v>2.56</v>
      </c>
      <c r="L193">
        <v>1.7</v>
      </c>
      <c r="M193" s="33">
        <v>9.5399999999999999E-2</v>
      </c>
      <c r="N193" s="33">
        <v>4.8599999999999997E-2</v>
      </c>
      <c r="O193">
        <v>2.64</v>
      </c>
      <c r="P193" s="33">
        <v>0.09</v>
      </c>
      <c r="Q193" s="33">
        <v>5.74E-2</v>
      </c>
      <c r="R193" s="34">
        <v>317404</v>
      </c>
      <c r="S193" s="34">
        <v>19459900000</v>
      </c>
      <c r="T193">
        <v>0.75</v>
      </c>
      <c r="U193" s="33">
        <v>3.73E-2</v>
      </c>
    </row>
    <row r="194" spans="1:21" x14ac:dyDescent="0.25">
      <c r="A194" t="s">
        <v>133</v>
      </c>
      <c r="B194">
        <v>9.18</v>
      </c>
      <c r="C194">
        <v>8.17</v>
      </c>
      <c r="D194">
        <v>0.47</v>
      </c>
      <c r="E194">
        <v>0.13400000000000001</v>
      </c>
      <c r="F194" s="33">
        <v>3.8100000000000002E-2</v>
      </c>
      <c r="G194">
        <v>0.107</v>
      </c>
      <c r="H194">
        <v>0.45</v>
      </c>
      <c r="I194">
        <v>1.4</v>
      </c>
      <c r="J194">
        <v>3.16</v>
      </c>
      <c r="K194">
        <v>2.57</v>
      </c>
      <c r="L194">
        <v>1.71</v>
      </c>
      <c r="M194" s="33">
        <v>9.5399999999999999E-2</v>
      </c>
      <c r="N194" s="33">
        <v>4.8599999999999997E-2</v>
      </c>
      <c r="O194">
        <v>2.64</v>
      </c>
      <c r="P194" s="33">
        <v>0.09</v>
      </c>
      <c r="Q194" s="33">
        <v>5.74E-2</v>
      </c>
      <c r="R194" s="34">
        <v>95715300</v>
      </c>
      <c r="S194" s="34">
        <v>19459900000</v>
      </c>
      <c r="T194">
        <v>0.75</v>
      </c>
      <c r="U194" s="33">
        <v>3.73E-2</v>
      </c>
    </row>
    <row r="195" spans="1:21" x14ac:dyDescent="0.25">
      <c r="A195" t="s">
        <v>250</v>
      </c>
      <c r="B195">
        <v>1.27</v>
      </c>
      <c r="C195">
        <v>-0.06</v>
      </c>
      <c r="D195">
        <v>-0.02</v>
      </c>
      <c r="E195">
        <v>2.7E-2</v>
      </c>
      <c r="F195" s="33">
        <v>0</v>
      </c>
      <c r="G195">
        <v>2.3E-2</v>
      </c>
      <c r="H195">
        <v>-0.03</v>
      </c>
      <c r="I195">
        <v>-1</v>
      </c>
      <c r="J195">
        <v>-0.01</v>
      </c>
      <c r="K195">
        <v>-38.69</v>
      </c>
      <c r="L195">
        <v>12.64</v>
      </c>
      <c r="M195" s="33">
        <v>-2.6599999999999999E-2</v>
      </c>
      <c r="N195" s="33">
        <v>-0.42299999999999999</v>
      </c>
      <c r="O195">
        <v>0.25</v>
      </c>
      <c r="P195" s="33">
        <v>-2.7799999999999998E-2</v>
      </c>
      <c r="Q195" s="33">
        <v>0.30630000000000002</v>
      </c>
      <c r="R195" s="34">
        <v>15723800</v>
      </c>
      <c r="S195" s="34">
        <v>-27683900000</v>
      </c>
      <c r="T195">
        <v>-0.79</v>
      </c>
      <c r="U195" s="33">
        <v>0.43</v>
      </c>
    </row>
    <row r="196" spans="1:21" x14ac:dyDescent="0.25">
      <c r="A196" t="s">
        <v>404</v>
      </c>
      <c r="B196">
        <v>22.9</v>
      </c>
      <c r="C196">
        <v>55.5</v>
      </c>
      <c r="D196">
        <v>2.31</v>
      </c>
      <c r="E196">
        <v>56.457999999999998</v>
      </c>
      <c r="F196" s="33">
        <v>0</v>
      </c>
      <c r="G196">
        <v>2.1150000000000002</v>
      </c>
      <c r="H196">
        <v>6.26</v>
      </c>
      <c r="I196">
        <v>-100.73</v>
      </c>
      <c r="J196">
        <v>7.97</v>
      </c>
      <c r="K196">
        <v>-87.92</v>
      </c>
      <c r="L196">
        <v>-97.9</v>
      </c>
      <c r="M196" s="33">
        <v>-0.5605</v>
      </c>
      <c r="N196" s="33">
        <v>1.0183</v>
      </c>
      <c r="O196">
        <v>29.82</v>
      </c>
      <c r="P196" s="33">
        <v>-2.93E-2</v>
      </c>
      <c r="Q196" s="33">
        <v>4.1599999999999998E-2</v>
      </c>
      <c r="R196" s="34">
        <v>235.46</v>
      </c>
      <c r="S196" s="34">
        <v>789920000</v>
      </c>
      <c r="T196">
        <v>0.02</v>
      </c>
      <c r="U196" s="33">
        <v>-0.54990000000000006</v>
      </c>
    </row>
    <row r="197" spans="1:21" x14ac:dyDescent="0.25">
      <c r="A197" t="s">
        <v>405</v>
      </c>
      <c r="B197">
        <v>3.76</v>
      </c>
      <c r="C197">
        <v>-1.37</v>
      </c>
      <c r="D197">
        <v>0.19</v>
      </c>
      <c r="E197">
        <v>-3.863</v>
      </c>
      <c r="F197" s="33">
        <v>0</v>
      </c>
      <c r="G197">
        <v>9.5000000000000001E-2</v>
      </c>
      <c r="H197">
        <v>1.01</v>
      </c>
      <c r="I197">
        <v>-1.77</v>
      </c>
      <c r="J197">
        <v>-3.61</v>
      </c>
      <c r="K197">
        <v>0.5</v>
      </c>
      <c r="L197">
        <v>0.5</v>
      </c>
      <c r="M197" s="33">
        <v>2.1772999999999998</v>
      </c>
      <c r="N197" s="33">
        <v>5.7458999999999998</v>
      </c>
      <c r="O197">
        <v>2.74</v>
      </c>
      <c r="P197" s="33">
        <v>-6.2399999999999997E-2</v>
      </c>
      <c r="Q197" s="33">
        <v>-0.1384</v>
      </c>
      <c r="R197" s="34">
        <v>24892.1</v>
      </c>
      <c r="S197" s="34">
        <v>1347650000</v>
      </c>
      <c r="T197">
        <v>0.03</v>
      </c>
      <c r="U197" s="33">
        <v>-9.7500000000000003E-2</v>
      </c>
    </row>
    <row r="198" spans="1:21" x14ac:dyDescent="0.25">
      <c r="A198" t="s">
        <v>75</v>
      </c>
      <c r="B198">
        <v>5.42</v>
      </c>
      <c r="C198">
        <v>6.9</v>
      </c>
      <c r="D198">
        <v>1.24</v>
      </c>
      <c r="E198">
        <v>1.843</v>
      </c>
      <c r="F198" s="33">
        <v>8.9200000000000002E-2</v>
      </c>
      <c r="G198">
        <v>1.0449999999999999</v>
      </c>
      <c r="H198">
        <v>1.95</v>
      </c>
      <c r="I198">
        <v>9.8699999999999992</v>
      </c>
      <c r="J198">
        <v>1.97</v>
      </c>
      <c r="K198">
        <v>7.01</v>
      </c>
      <c r="L198">
        <v>6.13</v>
      </c>
      <c r="M198" s="33">
        <v>0.1867</v>
      </c>
      <c r="N198" s="33">
        <v>0.26719999999999999</v>
      </c>
      <c r="O198">
        <v>4.47</v>
      </c>
      <c r="P198" s="33">
        <v>0.16539999999999999</v>
      </c>
      <c r="Q198" s="33">
        <v>0.1802</v>
      </c>
      <c r="R198" s="34">
        <v>14136800</v>
      </c>
      <c r="S198" s="34">
        <v>3934740000</v>
      </c>
      <c r="T198">
        <v>0.05</v>
      </c>
      <c r="U198" s="33">
        <v>5.8200000000000002E-2</v>
      </c>
    </row>
    <row r="199" spans="1:21" x14ac:dyDescent="0.25">
      <c r="A199" t="s">
        <v>406</v>
      </c>
      <c r="B199">
        <v>4.8</v>
      </c>
      <c r="C199">
        <v>-0.02</v>
      </c>
      <c r="D199">
        <v>-0.01</v>
      </c>
      <c r="E199">
        <v>0.05</v>
      </c>
      <c r="F199" s="33">
        <v>0</v>
      </c>
      <c r="G199">
        <v>8.0000000000000002E-3</v>
      </c>
      <c r="H199">
        <v>-0.56999999999999995</v>
      </c>
      <c r="I199">
        <v>0.17</v>
      </c>
      <c r="J199">
        <v>0</v>
      </c>
      <c r="K199">
        <v>39.619999999999997</v>
      </c>
      <c r="L199">
        <v>38.07</v>
      </c>
      <c r="M199" s="33">
        <v>0.2949</v>
      </c>
      <c r="N199" s="33">
        <v>-3.1928000000000001</v>
      </c>
      <c r="O199">
        <v>0.92</v>
      </c>
      <c r="P199" s="33">
        <v>5.0999999999999997E-2</v>
      </c>
      <c r="Q199" s="33">
        <v>0.4163</v>
      </c>
      <c r="R199" s="34">
        <v>3756.54</v>
      </c>
      <c r="S199" s="34">
        <v>-1409770000</v>
      </c>
      <c r="T199">
        <v>-1.6</v>
      </c>
      <c r="U199" s="33">
        <v>0.1696</v>
      </c>
    </row>
    <row r="200" spans="1:21" x14ac:dyDescent="0.25">
      <c r="A200" t="s">
        <v>216</v>
      </c>
      <c r="B200">
        <v>8.41</v>
      </c>
      <c r="C200">
        <v>12.9</v>
      </c>
      <c r="D200">
        <v>0.78</v>
      </c>
      <c r="E200">
        <v>0.42599999999999999</v>
      </c>
      <c r="F200" s="33">
        <v>0</v>
      </c>
      <c r="G200">
        <v>0.317</v>
      </c>
      <c r="H200">
        <v>1.55</v>
      </c>
      <c r="I200">
        <v>4.92</v>
      </c>
      <c r="J200">
        <v>11.16</v>
      </c>
      <c r="K200">
        <v>5.94</v>
      </c>
      <c r="L200">
        <v>3.27</v>
      </c>
      <c r="M200" s="33">
        <v>8.6699999999999999E-2</v>
      </c>
      <c r="N200" s="33">
        <v>3.3099999999999997E-2</v>
      </c>
      <c r="O200">
        <v>1.49</v>
      </c>
      <c r="P200" s="33">
        <v>7.8799999999999995E-2</v>
      </c>
      <c r="Q200" s="33">
        <v>6.0499999999999998E-2</v>
      </c>
      <c r="R200" s="34">
        <v>10601100</v>
      </c>
      <c r="S200" s="34">
        <v>5382710000</v>
      </c>
      <c r="T200">
        <v>0.37</v>
      </c>
      <c r="U200" s="33">
        <v>0.126</v>
      </c>
    </row>
    <row r="201" spans="1:21" x14ac:dyDescent="0.25">
      <c r="A201" t="s">
        <v>60</v>
      </c>
      <c r="B201">
        <v>1.97</v>
      </c>
      <c r="C201">
        <v>11.83</v>
      </c>
      <c r="D201">
        <v>-0.46</v>
      </c>
      <c r="E201">
        <v>0.77200000000000002</v>
      </c>
      <c r="F201" s="33">
        <v>0</v>
      </c>
      <c r="G201">
        <v>0.34899999999999998</v>
      </c>
      <c r="H201">
        <v>0.67</v>
      </c>
      <c r="I201">
        <v>-14.97</v>
      </c>
      <c r="J201">
        <v>-0.4</v>
      </c>
      <c r="K201">
        <v>2.9</v>
      </c>
      <c r="L201">
        <v>8.31</v>
      </c>
      <c r="M201" s="33">
        <v>-5.16E-2</v>
      </c>
      <c r="N201" s="33">
        <v>6.5299999999999997E-2</v>
      </c>
      <c r="O201">
        <v>2.4300000000000002</v>
      </c>
      <c r="P201" s="33">
        <v>-9.11E-2</v>
      </c>
      <c r="Q201" s="33">
        <v>-3.9E-2</v>
      </c>
      <c r="R201" s="34">
        <v>4658.49</v>
      </c>
      <c r="S201" s="34">
        <v>-50773000</v>
      </c>
      <c r="T201">
        <v>-0.41</v>
      </c>
      <c r="U201" s="33">
        <v>-6.59E-2</v>
      </c>
    </row>
    <row r="202" spans="1:21" x14ac:dyDescent="0.25">
      <c r="A202" t="s">
        <v>29</v>
      </c>
      <c r="B202">
        <v>1.25</v>
      </c>
      <c r="C202">
        <v>7.51</v>
      </c>
      <c r="D202">
        <v>-0.28999999999999998</v>
      </c>
      <c r="E202">
        <v>0.49</v>
      </c>
      <c r="F202" s="33">
        <v>0</v>
      </c>
      <c r="G202">
        <v>0.222</v>
      </c>
      <c r="H202">
        <v>0.42</v>
      </c>
      <c r="I202">
        <v>-9.5</v>
      </c>
      <c r="J202">
        <v>-0.26</v>
      </c>
      <c r="K202">
        <v>8.3699999999999992</v>
      </c>
      <c r="L202">
        <v>23.98</v>
      </c>
      <c r="M202" s="33">
        <v>-5.16E-2</v>
      </c>
      <c r="N202" s="33">
        <v>6.5299999999999997E-2</v>
      </c>
      <c r="O202">
        <v>2.4300000000000002</v>
      </c>
      <c r="P202" s="33">
        <v>-9.11E-2</v>
      </c>
      <c r="Q202" s="33">
        <v>-3.9E-2</v>
      </c>
      <c r="R202" s="34">
        <v>10624.9</v>
      </c>
      <c r="S202" s="34">
        <v>-50773000</v>
      </c>
      <c r="T202">
        <v>-0.41</v>
      </c>
      <c r="U202" s="33">
        <v>-6.59E-2</v>
      </c>
    </row>
    <row r="203" spans="1:21" x14ac:dyDescent="0.25">
      <c r="A203" t="s">
        <v>241</v>
      </c>
      <c r="B203">
        <v>2.7</v>
      </c>
      <c r="C203">
        <v>-2.57</v>
      </c>
      <c r="D203">
        <v>0.03</v>
      </c>
      <c r="E203">
        <v>4.7E-2</v>
      </c>
      <c r="F203" s="33">
        <v>0</v>
      </c>
      <c r="G203">
        <v>1.7999999999999999E-2</v>
      </c>
      <c r="H203">
        <v>0.21</v>
      </c>
      <c r="I203">
        <v>1.59</v>
      </c>
      <c r="J203">
        <v>-0.1</v>
      </c>
      <c r="K203">
        <v>5.87</v>
      </c>
      <c r="L203">
        <v>2.86</v>
      </c>
      <c r="M203" s="33">
        <v>2.9499999999999998E-2</v>
      </c>
      <c r="N203" s="33">
        <v>-1.8200000000000001E-2</v>
      </c>
      <c r="O203">
        <v>2.1</v>
      </c>
      <c r="P203" s="33">
        <v>1.3299999999999999E-2</v>
      </c>
      <c r="Q203" s="33">
        <v>-1.0800000000000001E-2</v>
      </c>
      <c r="R203" s="34">
        <v>203577000</v>
      </c>
      <c r="S203" s="34">
        <v>48864200000</v>
      </c>
      <c r="T203">
        <v>0.27</v>
      </c>
      <c r="U203" s="33">
        <v>0.3775</v>
      </c>
    </row>
    <row r="204" spans="1:21" x14ac:dyDescent="0.25">
      <c r="A204" t="s">
        <v>210</v>
      </c>
      <c r="B204">
        <v>2.77</v>
      </c>
      <c r="C204">
        <v>6.49</v>
      </c>
      <c r="D204">
        <v>0.25</v>
      </c>
      <c r="E204">
        <v>0.29099999999999998</v>
      </c>
      <c r="F204" s="33">
        <v>3.6499999999999998E-2</v>
      </c>
      <c r="G204">
        <v>5.8000000000000003E-2</v>
      </c>
      <c r="H204">
        <v>0.4</v>
      </c>
      <c r="I204">
        <v>1.76</v>
      </c>
      <c r="J204">
        <v>-0.33</v>
      </c>
      <c r="K204">
        <v>8.84</v>
      </c>
      <c r="L204">
        <v>7.72</v>
      </c>
      <c r="M204" s="33">
        <v>0.16569999999999999</v>
      </c>
      <c r="N204" s="33">
        <v>0.12989999999999999</v>
      </c>
      <c r="O204">
        <v>1.61</v>
      </c>
      <c r="P204" s="33">
        <v>3.4700000000000002E-2</v>
      </c>
      <c r="Q204" s="33">
        <v>3.9100000000000003E-2</v>
      </c>
      <c r="R204" s="34">
        <v>2874520</v>
      </c>
      <c r="S204" s="34">
        <v>1459720000</v>
      </c>
      <c r="T204">
        <v>1.18</v>
      </c>
      <c r="U204" s="33">
        <v>9.6799999999999997E-2</v>
      </c>
    </row>
    <row r="205" spans="1:21" x14ac:dyDescent="0.25">
      <c r="A205" t="s">
        <v>223</v>
      </c>
      <c r="B205">
        <v>3.62</v>
      </c>
      <c r="C205">
        <v>10.53</v>
      </c>
      <c r="D205">
        <v>0.18</v>
      </c>
      <c r="E205">
        <v>2.1859999999999999</v>
      </c>
      <c r="F205" s="33">
        <v>0</v>
      </c>
      <c r="G205">
        <v>7.2999999999999995E-2</v>
      </c>
      <c r="H205">
        <v>2.0499999999999998</v>
      </c>
      <c r="I205">
        <v>1.31</v>
      </c>
      <c r="J205">
        <v>-0.22</v>
      </c>
      <c r="K205">
        <v>6.3</v>
      </c>
      <c r="L205">
        <v>6.19</v>
      </c>
      <c r="M205" s="33">
        <v>1.6667000000000001</v>
      </c>
      <c r="N205" s="33">
        <v>0.70950000000000002</v>
      </c>
      <c r="O205">
        <v>1.57</v>
      </c>
      <c r="P205" s="33">
        <v>5.74E-2</v>
      </c>
      <c r="Q205" s="33">
        <v>1.7399999999999999E-2</v>
      </c>
      <c r="R205" s="34">
        <v>1222390</v>
      </c>
      <c r="S205" s="34">
        <v>2040590000</v>
      </c>
      <c r="T205">
        <v>0.77</v>
      </c>
      <c r="U205" s="33">
        <v>0.2213</v>
      </c>
    </row>
    <row r="206" spans="1:21" x14ac:dyDescent="0.25">
      <c r="A206" t="s">
        <v>100</v>
      </c>
      <c r="B206">
        <v>3.33</v>
      </c>
      <c r="C206">
        <v>-8.58</v>
      </c>
      <c r="D206">
        <v>4.7699999999999996</v>
      </c>
      <c r="E206">
        <v>3.161</v>
      </c>
      <c r="F206" s="33">
        <v>0</v>
      </c>
      <c r="G206">
        <v>0.72299999999999998</v>
      </c>
      <c r="H206">
        <v>7.06</v>
      </c>
      <c r="I206">
        <v>-23.36</v>
      </c>
      <c r="J206">
        <v>-1.22</v>
      </c>
      <c r="K206">
        <v>-41.17</v>
      </c>
      <c r="L206">
        <v>35.17</v>
      </c>
      <c r="M206" s="33">
        <v>-0.1353</v>
      </c>
      <c r="N206" s="33">
        <v>-0.36820000000000003</v>
      </c>
      <c r="O206">
        <v>1.67</v>
      </c>
      <c r="P206" s="33">
        <v>-3.3599999999999998E-2</v>
      </c>
      <c r="Q206" s="33">
        <v>-0.55549999999999999</v>
      </c>
      <c r="R206" s="34">
        <v>14206600</v>
      </c>
      <c r="S206" s="34">
        <v>949871000</v>
      </c>
      <c r="T206">
        <v>4.05</v>
      </c>
      <c r="U206" s="33">
        <v>2.8000000000000001E-2</v>
      </c>
    </row>
    <row r="207" spans="1:21" x14ac:dyDescent="0.25">
      <c r="A207" t="s">
        <v>407</v>
      </c>
      <c r="B207">
        <v>30</v>
      </c>
      <c r="C207">
        <v>13.33</v>
      </c>
      <c r="D207">
        <v>0.42</v>
      </c>
      <c r="E207">
        <v>3.9550000000000001</v>
      </c>
      <c r="F207" s="33">
        <v>0.17280000000000001</v>
      </c>
      <c r="G207">
        <v>0.17</v>
      </c>
      <c r="H207">
        <v>5.19</v>
      </c>
      <c r="I207">
        <v>-4.62</v>
      </c>
      <c r="J207">
        <v>-0.35</v>
      </c>
      <c r="K207">
        <v>-8.51</v>
      </c>
      <c r="L207">
        <v>-8.77</v>
      </c>
      <c r="M207" s="33">
        <v>-0.85560000000000003</v>
      </c>
      <c r="N207" s="33">
        <v>0.29649999999999999</v>
      </c>
      <c r="O207">
        <v>1.37</v>
      </c>
      <c r="P207" s="33">
        <v>-3.7999999999999999E-2</v>
      </c>
      <c r="Q207" s="33">
        <v>3.1699999999999999E-2</v>
      </c>
      <c r="R207" s="34">
        <v>7853.02</v>
      </c>
      <c r="S207" s="34">
        <v>647667000</v>
      </c>
      <c r="T207">
        <v>0.43</v>
      </c>
      <c r="U207" s="33">
        <v>-8.4599999999999995E-2</v>
      </c>
    </row>
    <row r="208" spans="1:21" x14ac:dyDescent="0.25">
      <c r="A208" t="s">
        <v>408</v>
      </c>
      <c r="B208">
        <v>5.51</v>
      </c>
      <c r="C208">
        <v>3.19</v>
      </c>
      <c r="D208">
        <v>-0.01</v>
      </c>
      <c r="E208">
        <v>0.67100000000000004</v>
      </c>
      <c r="F208" s="33">
        <v>0</v>
      </c>
      <c r="G208">
        <v>0.22800000000000001</v>
      </c>
      <c r="H208">
        <v>-0.81</v>
      </c>
      <c r="I208">
        <v>0.72</v>
      </c>
      <c r="J208">
        <v>-0.01</v>
      </c>
      <c r="K208">
        <v>83.92</v>
      </c>
      <c r="L208">
        <v>83.92</v>
      </c>
      <c r="M208" s="33">
        <v>0.93100000000000005</v>
      </c>
      <c r="N208" s="33">
        <v>0.21049999999999999</v>
      </c>
      <c r="O208">
        <v>0.32</v>
      </c>
      <c r="P208" s="33">
        <v>0.31859999999999999</v>
      </c>
      <c r="Q208" s="33">
        <v>-2.5000000000000001E-3</v>
      </c>
      <c r="R208" s="34">
        <v>380.71</v>
      </c>
      <c r="S208" s="34">
        <v>-350747000</v>
      </c>
      <c r="T208">
        <v>-0.93</v>
      </c>
      <c r="U208" s="33">
        <v>0.25180000000000002</v>
      </c>
    </row>
    <row r="209" spans="1:21" x14ac:dyDescent="0.25">
      <c r="A209" t="s">
        <v>409</v>
      </c>
      <c r="B209">
        <v>3.64</v>
      </c>
      <c r="C209">
        <v>0.83</v>
      </c>
      <c r="D209">
        <v>-1.4</v>
      </c>
      <c r="E209">
        <v>0.375</v>
      </c>
      <c r="F209" s="33">
        <v>0</v>
      </c>
      <c r="G209">
        <v>0.128</v>
      </c>
      <c r="H209">
        <v>-1.1599999999999999</v>
      </c>
      <c r="I209">
        <v>1.06</v>
      </c>
      <c r="J209">
        <v>-0.13</v>
      </c>
      <c r="K209">
        <v>0.55000000000000004</v>
      </c>
      <c r="L209">
        <v>0.48</v>
      </c>
      <c r="M209" s="33">
        <v>0.35339999999999999</v>
      </c>
      <c r="N209" s="33">
        <v>0.45440000000000003</v>
      </c>
      <c r="O209">
        <v>0.64</v>
      </c>
      <c r="P209" s="33">
        <v>0.13039999999999999</v>
      </c>
      <c r="Q209" s="33">
        <v>-1.6920999999999999</v>
      </c>
      <c r="R209" s="34">
        <v>40949.1</v>
      </c>
      <c r="S209" s="34">
        <v>-47880000</v>
      </c>
      <c r="T209">
        <v>-0.02</v>
      </c>
      <c r="U209" s="33">
        <v>0.67969999999999997</v>
      </c>
    </row>
    <row r="210" spans="1:21" x14ac:dyDescent="0.25">
      <c r="A210" t="s">
        <v>229</v>
      </c>
      <c r="B210">
        <v>26.4</v>
      </c>
      <c r="C210">
        <v>20.68</v>
      </c>
      <c r="D210">
        <v>1.42</v>
      </c>
      <c r="E210">
        <v>2.4969999999999999</v>
      </c>
      <c r="F210" s="33">
        <v>3.6900000000000002E-2</v>
      </c>
      <c r="G210">
        <v>0.68700000000000006</v>
      </c>
      <c r="H210">
        <v>13.66</v>
      </c>
      <c r="I210">
        <v>17.510000000000002</v>
      </c>
      <c r="J210">
        <v>-2.5</v>
      </c>
      <c r="K210">
        <v>25.42</v>
      </c>
      <c r="L210">
        <v>19.489999999999998</v>
      </c>
      <c r="M210" s="33">
        <v>0.1426</v>
      </c>
      <c r="N210" s="33">
        <v>0.1196</v>
      </c>
      <c r="O210">
        <v>1.26</v>
      </c>
      <c r="P210" s="33">
        <v>4.2999999999999997E-2</v>
      </c>
      <c r="Q210" s="33">
        <v>6.8900000000000003E-2</v>
      </c>
      <c r="R210" s="34">
        <v>75186200</v>
      </c>
      <c r="S210" s="34">
        <v>11738300000</v>
      </c>
      <c r="T210">
        <v>0.79</v>
      </c>
      <c r="U210" s="33">
        <v>0.113</v>
      </c>
    </row>
    <row r="211" spans="1:21" x14ac:dyDescent="0.25">
      <c r="A211" t="s">
        <v>240</v>
      </c>
      <c r="B211">
        <v>7.0000000000000007E-2</v>
      </c>
      <c r="C211">
        <v>-0.06</v>
      </c>
      <c r="D211">
        <v>-0.7</v>
      </c>
      <c r="E211">
        <v>0.10100000000000001</v>
      </c>
      <c r="F211" s="33">
        <v>0</v>
      </c>
      <c r="G211">
        <v>7.0999999999999994E-2</v>
      </c>
      <c r="H211">
        <v>-0.39</v>
      </c>
      <c r="I211">
        <v>-7.0000000000000007E-2</v>
      </c>
      <c r="J211">
        <v>-0.12</v>
      </c>
      <c r="K211">
        <v>-0.56000000000000005</v>
      </c>
      <c r="L211">
        <v>-0.6</v>
      </c>
      <c r="M211" s="33">
        <v>-1.4795</v>
      </c>
      <c r="N211" s="33">
        <v>-1.6592</v>
      </c>
      <c r="O211">
        <v>0.73</v>
      </c>
      <c r="P211" s="33">
        <v>-1.4582999999999999</v>
      </c>
      <c r="Q211" s="33">
        <v>11.5709</v>
      </c>
      <c r="R211" s="34">
        <v>1029910</v>
      </c>
      <c r="S211" s="34">
        <v>-147834000</v>
      </c>
      <c r="T211">
        <v>-5.62</v>
      </c>
      <c r="U211" s="33">
        <v>0.23169999999999999</v>
      </c>
    </row>
    <row r="212" spans="1:21" x14ac:dyDescent="0.25">
      <c r="A212" t="s">
        <v>410</v>
      </c>
      <c r="B212">
        <v>175.99</v>
      </c>
      <c r="C212">
        <v>0.56000000000000005</v>
      </c>
      <c r="D212">
        <v>-0.34</v>
      </c>
      <c r="E212">
        <v>30.247</v>
      </c>
      <c r="F212" s="33">
        <v>0</v>
      </c>
      <c r="G212">
        <v>1.0349999999999999</v>
      </c>
      <c r="H212">
        <v>-0.99</v>
      </c>
      <c r="I212">
        <v>-3.7</v>
      </c>
      <c r="J212">
        <v>-0.28999999999999998</v>
      </c>
      <c r="K212">
        <v>-7.85</v>
      </c>
      <c r="L212">
        <v>-8.2100000000000009</v>
      </c>
      <c r="M212" s="33">
        <v>-8.1712000000000007</v>
      </c>
      <c r="N212" s="33">
        <v>53.793199999999999</v>
      </c>
      <c r="O212">
        <v>0.33</v>
      </c>
      <c r="P212" s="33">
        <v>-0.57989999999999997</v>
      </c>
      <c r="Q212" s="33">
        <v>-0.60099999999999998</v>
      </c>
      <c r="R212" s="34">
        <v>10393.299999999999</v>
      </c>
      <c r="S212" s="34">
        <v>-650957000</v>
      </c>
      <c r="T212">
        <v>-0.54</v>
      </c>
      <c r="U212" s="33">
        <v>0.13969999999999999</v>
      </c>
    </row>
    <row r="213" spans="1:21" x14ac:dyDescent="0.25">
      <c r="A213" t="s">
        <v>411</v>
      </c>
      <c r="B213">
        <v>22.58</v>
      </c>
      <c r="C213">
        <v>15.72</v>
      </c>
      <c r="D213">
        <v>1.52</v>
      </c>
      <c r="E213">
        <v>5.282</v>
      </c>
      <c r="F213" s="33">
        <v>1.7399999999999999E-2</v>
      </c>
      <c r="G213">
        <v>0.748</v>
      </c>
      <c r="H213">
        <v>3.13</v>
      </c>
      <c r="I213">
        <v>9.48</v>
      </c>
      <c r="J213">
        <v>-3.61</v>
      </c>
      <c r="K213">
        <v>12.08</v>
      </c>
      <c r="L213">
        <v>9.6999999999999993</v>
      </c>
      <c r="M213" s="33">
        <v>0.55730000000000002</v>
      </c>
      <c r="N213" s="33">
        <v>0.33600000000000002</v>
      </c>
      <c r="O213">
        <v>4.9000000000000004</v>
      </c>
      <c r="P213" s="33">
        <v>0.1065</v>
      </c>
      <c r="Q213" s="33">
        <v>9.6600000000000005E-2</v>
      </c>
      <c r="R213" s="34">
        <v>58014700</v>
      </c>
      <c r="S213" s="34">
        <v>4409240000</v>
      </c>
      <c r="T213">
        <v>0.94</v>
      </c>
      <c r="U213" s="33">
        <v>0.15790000000000001</v>
      </c>
    </row>
    <row r="214" spans="1:21" x14ac:dyDescent="0.25">
      <c r="A214" t="s">
        <v>108</v>
      </c>
      <c r="B214">
        <v>2.68</v>
      </c>
      <c r="C214">
        <v>13.06</v>
      </c>
      <c r="D214">
        <v>1.26</v>
      </c>
      <c r="E214">
        <v>4.3879999999999999</v>
      </c>
      <c r="F214" s="33">
        <v>2.1000000000000001E-2</v>
      </c>
      <c r="G214">
        <v>0.622</v>
      </c>
      <c r="H214">
        <v>2.6</v>
      </c>
      <c r="I214">
        <v>7.87</v>
      </c>
      <c r="J214">
        <v>-3</v>
      </c>
      <c r="K214">
        <v>10.48</v>
      </c>
      <c r="L214">
        <v>8.42</v>
      </c>
      <c r="M214" s="33">
        <v>0.55730000000000002</v>
      </c>
      <c r="N214" s="33">
        <v>0.33600000000000002</v>
      </c>
      <c r="O214">
        <v>4.9000000000000004</v>
      </c>
      <c r="P214" s="33">
        <v>0.1065</v>
      </c>
      <c r="Q214" s="33">
        <v>9.6600000000000005E-2</v>
      </c>
      <c r="R214" s="34">
        <v>108555</v>
      </c>
      <c r="S214" s="34">
        <v>4409240000</v>
      </c>
      <c r="T214">
        <v>0.94</v>
      </c>
      <c r="U214" s="33">
        <v>0.15790000000000001</v>
      </c>
    </row>
    <row r="215" spans="1:21" x14ac:dyDescent="0.25">
      <c r="A215" t="s">
        <v>412</v>
      </c>
      <c r="B215">
        <v>2.3199999999999998</v>
      </c>
      <c r="C215">
        <v>-0.44</v>
      </c>
      <c r="D215">
        <v>-7.0000000000000007E-2</v>
      </c>
      <c r="E215">
        <v>23.509</v>
      </c>
      <c r="F215" s="33">
        <v>0</v>
      </c>
      <c r="G215">
        <v>0.111</v>
      </c>
      <c r="H215">
        <v>-0.09</v>
      </c>
      <c r="I215">
        <v>-1.43</v>
      </c>
      <c r="J215">
        <v>-0.05</v>
      </c>
      <c r="K215">
        <v>-14.21</v>
      </c>
      <c r="L215">
        <v>-15.63</v>
      </c>
      <c r="M215" s="33">
        <v>-16.470199999999998</v>
      </c>
      <c r="N215" s="33">
        <v>-53.787599999999998</v>
      </c>
      <c r="O215">
        <v>0.08</v>
      </c>
      <c r="P215" s="33">
        <v>-8.3099999999999993E-2</v>
      </c>
      <c r="Q215" s="33">
        <v>0.16059999999999999</v>
      </c>
      <c r="R215" s="34">
        <v>172684</v>
      </c>
      <c r="S215" s="34">
        <v>-1448530000</v>
      </c>
      <c r="T215">
        <v>-0.64</v>
      </c>
      <c r="U215" s="33">
        <v>-0.21640000000000001</v>
      </c>
    </row>
    <row r="216" spans="1:21" x14ac:dyDescent="0.25">
      <c r="A216" t="s">
        <v>244</v>
      </c>
      <c r="B216">
        <v>1.62</v>
      </c>
      <c r="C216">
        <v>-0.31</v>
      </c>
      <c r="D216">
        <v>-0.05</v>
      </c>
      <c r="E216">
        <v>16.416</v>
      </c>
      <c r="F216" s="33">
        <v>0</v>
      </c>
      <c r="G216">
        <v>7.6999999999999999E-2</v>
      </c>
      <c r="H216">
        <v>-0.06</v>
      </c>
      <c r="I216">
        <v>-1</v>
      </c>
      <c r="J216">
        <v>-0.03</v>
      </c>
      <c r="K216">
        <v>-13.78</v>
      </c>
      <c r="L216">
        <v>-15.16</v>
      </c>
      <c r="M216" s="33">
        <v>-16.470199999999998</v>
      </c>
      <c r="N216" s="33">
        <v>-53.787599999999998</v>
      </c>
      <c r="O216">
        <v>0.08</v>
      </c>
      <c r="P216" s="33">
        <v>-8.3099999999999993E-2</v>
      </c>
      <c r="Q216" s="33">
        <v>0.16059999999999999</v>
      </c>
      <c r="R216" s="34">
        <v>159558</v>
      </c>
      <c r="S216" s="34">
        <v>-1448530000</v>
      </c>
      <c r="T216">
        <v>-0.64</v>
      </c>
      <c r="U216" s="33">
        <v>-0.21640000000000001</v>
      </c>
    </row>
    <row r="217" spans="1:21" x14ac:dyDescent="0.25">
      <c r="A217" t="s">
        <v>136</v>
      </c>
      <c r="B217">
        <v>14.15</v>
      </c>
      <c r="C217">
        <v>10.62</v>
      </c>
      <c r="D217">
        <v>1.58</v>
      </c>
      <c r="E217">
        <v>0.999</v>
      </c>
      <c r="F217" s="33">
        <v>3.2500000000000001E-2</v>
      </c>
      <c r="G217">
        <v>0.90600000000000003</v>
      </c>
      <c r="H217">
        <v>2</v>
      </c>
      <c r="I217">
        <v>9.48</v>
      </c>
      <c r="J217">
        <v>3.14</v>
      </c>
      <c r="K217">
        <v>10.16</v>
      </c>
      <c r="L217">
        <v>8.3699999999999992</v>
      </c>
      <c r="M217" s="33">
        <v>0.10539999999999999</v>
      </c>
      <c r="N217" s="33">
        <v>9.4E-2</v>
      </c>
      <c r="O217">
        <v>2.77</v>
      </c>
      <c r="P217" s="33">
        <v>0.1321</v>
      </c>
      <c r="Q217" s="33">
        <v>0.1484</v>
      </c>
      <c r="R217" s="34">
        <v>34889900</v>
      </c>
      <c r="S217" s="34">
        <v>2941250000</v>
      </c>
      <c r="T217">
        <v>0.33</v>
      </c>
      <c r="U217" s="33">
        <v>0.1691</v>
      </c>
    </row>
    <row r="218" spans="1:21" x14ac:dyDescent="0.25">
      <c r="A218" t="s">
        <v>73</v>
      </c>
      <c r="B218">
        <v>50.73</v>
      </c>
      <c r="C218">
        <v>-40.42</v>
      </c>
      <c r="D218">
        <v>0.82</v>
      </c>
      <c r="E218">
        <v>0.69199999999999995</v>
      </c>
      <c r="F218" s="33">
        <v>0</v>
      </c>
      <c r="G218">
        <v>0.25900000000000001</v>
      </c>
      <c r="H218">
        <v>0</v>
      </c>
      <c r="I218">
        <v>5.37</v>
      </c>
      <c r="J218">
        <v>0</v>
      </c>
      <c r="K218">
        <v>0</v>
      </c>
      <c r="L218">
        <v>0</v>
      </c>
      <c r="M218" s="33">
        <v>0.129</v>
      </c>
      <c r="N218" s="33">
        <v>-1.7100000000000001E-2</v>
      </c>
      <c r="O218">
        <v>0</v>
      </c>
      <c r="P218" s="33">
        <v>0</v>
      </c>
      <c r="Q218" s="33">
        <v>-2.0199999999999999E-2</v>
      </c>
      <c r="R218" s="34">
        <v>60106200</v>
      </c>
      <c r="S218" s="34">
        <v>5087450000</v>
      </c>
      <c r="T218">
        <v>0</v>
      </c>
      <c r="U218" s="33">
        <v>0</v>
      </c>
    </row>
    <row r="219" spans="1:21" x14ac:dyDescent="0.25">
      <c r="A219" t="s">
        <v>413</v>
      </c>
      <c r="B219">
        <v>30.5</v>
      </c>
      <c r="C219">
        <v>5.63</v>
      </c>
      <c r="D219">
        <v>0.98</v>
      </c>
      <c r="E219">
        <v>2.3919999999999999</v>
      </c>
      <c r="F219" s="33">
        <v>7.7399999999999997E-2</v>
      </c>
      <c r="G219">
        <v>0.45</v>
      </c>
      <c r="H219">
        <v>3.4</v>
      </c>
      <c r="I219">
        <v>4.28</v>
      </c>
      <c r="J219">
        <v>-1.27</v>
      </c>
      <c r="K219">
        <v>6.77</v>
      </c>
      <c r="L219">
        <v>6.72</v>
      </c>
      <c r="M219" s="33">
        <v>0.55840000000000001</v>
      </c>
      <c r="N219" s="33">
        <v>0.43109999999999998</v>
      </c>
      <c r="O219">
        <v>3.77</v>
      </c>
      <c r="P219" s="33">
        <v>0.114</v>
      </c>
      <c r="Q219" s="33">
        <v>0.17480000000000001</v>
      </c>
      <c r="R219" s="34">
        <v>95374.5</v>
      </c>
      <c r="S219" s="34">
        <v>20414900000</v>
      </c>
      <c r="T219">
        <v>0.73</v>
      </c>
      <c r="U219" s="33">
        <v>0.17660000000000001</v>
      </c>
    </row>
    <row r="220" spans="1:21" x14ac:dyDescent="0.25">
      <c r="A220" t="s">
        <v>5</v>
      </c>
      <c r="B220">
        <v>23.18</v>
      </c>
      <c r="C220">
        <v>4.28</v>
      </c>
      <c r="D220">
        <v>0.75</v>
      </c>
      <c r="E220">
        <v>1.8180000000000001</v>
      </c>
      <c r="F220" s="33">
        <v>0.1018</v>
      </c>
      <c r="G220">
        <v>0.34200000000000003</v>
      </c>
      <c r="H220">
        <v>2.58</v>
      </c>
      <c r="I220">
        <v>3.26</v>
      </c>
      <c r="J220">
        <v>-0.97</v>
      </c>
      <c r="K220">
        <v>5.75</v>
      </c>
      <c r="L220">
        <v>5.7</v>
      </c>
      <c r="M220" s="33">
        <v>0.55840000000000001</v>
      </c>
      <c r="N220" s="33">
        <v>0.43109999999999998</v>
      </c>
      <c r="O220">
        <v>3.77</v>
      </c>
      <c r="P220" s="33">
        <v>0.114</v>
      </c>
      <c r="Q220" s="33">
        <v>0.17480000000000001</v>
      </c>
      <c r="R220" s="34">
        <v>49736400</v>
      </c>
      <c r="S220" s="34">
        <v>20414900000</v>
      </c>
      <c r="T220">
        <v>0.73</v>
      </c>
      <c r="U220" s="33">
        <v>0.17660000000000001</v>
      </c>
    </row>
    <row r="221" spans="1:21" x14ac:dyDescent="0.25">
      <c r="A221" t="s">
        <v>40</v>
      </c>
      <c r="B221">
        <v>10.78</v>
      </c>
      <c r="C221">
        <v>7.79</v>
      </c>
      <c r="D221">
        <v>1.38</v>
      </c>
      <c r="E221">
        <v>14.449</v>
      </c>
      <c r="F221" s="33">
        <v>8.1199999999999994E-2</v>
      </c>
      <c r="G221">
        <v>1.071</v>
      </c>
      <c r="H221">
        <v>19.71</v>
      </c>
      <c r="I221">
        <v>208.28</v>
      </c>
      <c r="J221">
        <v>-14.81</v>
      </c>
      <c r="K221">
        <v>215.01</v>
      </c>
      <c r="L221">
        <v>68.5</v>
      </c>
      <c r="M221" s="33">
        <v>6.9400000000000003E-2</v>
      </c>
      <c r="N221" s="33">
        <v>1.8759999999999999</v>
      </c>
      <c r="O221">
        <v>1.97</v>
      </c>
      <c r="P221" s="33">
        <v>5.5999999999999999E-3</v>
      </c>
      <c r="Q221" s="33">
        <v>0.17710000000000001</v>
      </c>
      <c r="R221" s="34">
        <v>1506410</v>
      </c>
      <c r="S221" s="34">
        <v>85938000000</v>
      </c>
      <c r="T221">
        <v>0.13</v>
      </c>
      <c r="U221" s="33">
        <v>3.61E-2</v>
      </c>
    </row>
    <row r="222" spans="1:21" x14ac:dyDescent="0.25">
      <c r="A222" t="s">
        <v>49</v>
      </c>
      <c r="B222">
        <v>10.83</v>
      </c>
      <c r="C222">
        <v>7.82</v>
      </c>
      <c r="D222">
        <v>1.39</v>
      </c>
      <c r="E222">
        <v>14.516</v>
      </c>
      <c r="F222" s="33">
        <v>8.0799999999999997E-2</v>
      </c>
      <c r="G222">
        <v>1.0760000000000001</v>
      </c>
      <c r="H222">
        <v>19.8</v>
      </c>
      <c r="I222">
        <v>209.25</v>
      </c>
      <c r="J222">
        <v>-14.88</v>
      </c>
      <c r="K222">
        <v>215.97</v>
      </c>
      <c r="L222">
        <v>68.81</v>
      </c>
      <c r="M222" s="33">
        <v>6.9400000000000003E-2</v>
      </c>
      <c r="N222" s="33">
        <v>1.8759999999999999</v>
      </c>
      <c r="O222">
        <v>1.97</v>
      </c>
      <c r="P222" s="33">
        <v>5.5999999999999999E-3</v>
      </c>
      <c r="Q222" s="33">
        <v>0.17710000000000001</v>
      </c>
      <c r="R222" s="34">
        <v>342657000</v>
      </c>
      <c r="S222" s="34">
        <v>85938000000</v>
      </c>
      <c r="T222">
        <v>0.13</v>
      </c>
      <c r="U222" s="33">
        <v>3.61E-2</v>
      </c>
    </row>
    <row r="223" spans="1:21" x14ac:dyDescent="0.25">
      <c r="A223" t="s">
        <v>62</v>
      </c>
      <c r="B223">
        <v>32.33</v>
      </c>
      <c r="C223">
        <v>8.85</v>
      </c>
      <c r="D223">
        <v>1.8</v>
      </c>
      <c r="E223">
        <v>0</v>
      </c>
      <c r="F223" s="33">
        <v>7.3999999999999996E-2</v>
      </c>
      <c r="G223">
        <v>0</v>
      </c>
      <c r="H223">
        <v>0</v>
      </c>
      <c r="I223">
        <v>0</v>
      </c>
      <c r="J223">
        <v>0</v>
      </c>
      <c r="K223">
        <v>0</v>
      </c>
      <c r="L223">
        <v>0</v>
      </c>
      <c r="M223" s="33">
        <v>0</v>
      </c>
      <c r="N223" s="33">
        <v>0</v>
      </c>
      <c r="O223">
        <v>0</v>
      </c>
      <c r="P223" s="33">
        <v>0</v>
      </c>
      <c r="Q223" s="33">
        <v>0.20330000000000001</v>
      </c>
      <c r="R223" s="34">
        <v>20328100</v>
      </c>
      <c r="S223" s="34">
        <v>193682000000</v>
      </c>
      <c r="T223">
        <v>0</v>
      </c>
      <c r="U223" s="33">
        <v>0.79800000000000004</v>
      </c>
    </row>
    <row r="224" spans="1:21" x14ac:dyDescent="0.25">
      <c r="A224" t="s">
        <v>44</v>
      </c>
      <c r="B224">
        <v>36.49</v>
      </c>
      <c r="C224">
        <v>9.99</v>
      </c>
      <c r="D224">
        <v>2.0299999999999998</v>
      </c>
      <c r="E224">
        <v>0</v>
      </c>
      <c r="F224" s="33">
        <v>6.5600000000000006E-2</v>
      </c>
      <c r="G224">
        <v>0</v>
      </c>
      <c r="H224">
        <v>0</v>
      </c>
      <c r="I224">
        <v>0</v>
      </c>
      <c r="J224">
        <v>0</v>
      </c>
      <c r="K224">
        <v>0</v>
      </c>
      <c r="L224">
        <v>0</v>
      </c>
      <c r="M224" s="33">
        <v>0</v>
      </c>
      <c r="N224" s="33">
        <v>0</v>
      </c>
      <c r="O224">
        <v>0</v>
      </c>
      <c r="P224" s="33">
        <v>0</v>
      </c>
      <c r="Q224" s="33">
        <v>0.20330000000000001</v>
      </c>
      <c r="R224" s="34">
        <v>892715000</v>
      </c>
      <c r="S224" s="34">
        <v>193682000000</v>
      </c>
      <c r="T224">
        <v>0</v>
      </c>
      <c r="U224" s="33">
        <v>0.79800000000000004</v>
      </c>
    </row>
    <row r="225" spans="1:21" x14ac:dyDescent="0.25">
      <c r="A225" t="s">
        <v>126</v>
      </c>
      <c r="B225">
        <v>4.0599999999999996</v>
      </c>
      <c r="C225">
        <v>-35.54</v>
      </c>
      <c r="D225">
        <v>0.61</v>
      </c>
      <c r="E225">
        <v>0.56399999999999995</v>
      </c>
      <c r="F225" s="33">
        <v>1.67E-2</v>
      </c>
      <c r="G225">
        <v>0.16800000000000001</v>
      </c>
      <c r="H225">
        <v>0.64</v>
      </c>
      <c r="I225">
        <v>2.4300000000000002</v>
      </c>
      <c r="J225">
        <v>-0.48</v>
      </c>
      <c r="K225">
        <v>9.11</v>
      </c>
      <c r="L225">
        <v>3.01</v>
      </c>
      <c r="M225" s="33">
        <v>0.2316</v>
      </c>
      <c r="N225" s="33">
        <v>-1.5900000000000001E-2</v>
      </c>
      <c r="O225">
        <v>3.3</v>
      </c>
      <c r="P225" s="33">
        <v>8.4099999999999994E-2</v>
      </c>
      <c r="Q225" s="33">
        <v>-1.72E-2</v>
      </c>
      <c r="R225" s="34">
        <v>2019040</v>
      </c>
      <c r="S225" s="34">
        <v>2017030000</v>
      </c>
      <c r="T225">
        <v>2.2599999999999998</v>
      </c>
      <c r="U225" s="33">
        <v>0.13650000000000001</v>
      </c>
    </row>
    <row r="226" spans="1:21" x14ac:dyDescent="0.25">
      <c r="A226" t="s">
        <v>79</v>
      </c>
      <c r="B226">
        <v>38.29</v>
      </c>
      <c r="C226">
        <v>7.8</v>
      </c>
      <c r="D226">
        <v>1.96</v>
      </c>
      <c r="E226">
        <v>0.192</v>
      </c>
      <c r="F226" s="33">
        <v>0.15670000000000001</v>
      </c>
      <c r="G226">
        <v>0.35499999999999998</v>
      </c>
      <c r="H226">
        <v>2.2200000000000002</v>
      </c>
      <c r="I226">
        <v>3.28</v>
      </c>
      <c r="J226">
        <v>-0.92</v>
      </c>
      <c r="K226">
        <v>6.55</v>
      </c>
      <c r="L226">
        <v>4.45</v>
      </c>
      <c r="M226" s="33">
        <v>5.8599999999999999E-2</v>
      </c>
      <c r="N226" s="33">
        <v>2.75E-2</v>
      </c>
      <c r="O226">
        <v>1.62</v>
      </c>
      <c r="P226" s="33">
        <v>0.14699999999999999</v>
      </c>
      <c r="Q226" s="33">
        <v>0.2515</v>
      </c>
      <c r="R226" s="34">
        <v>613049000</v>
      </c>
      <c r="S226" s="34">
        <v>43308500000</v>
      </c>
      <c r="T226">
        <v>2.64</v>
      </c>
      <c r="U226" s="33">
        <v>8.8700000000000001E-2</v>
      </c>
    </row>
    <row r="227" spans="1:21" x14ac:dyDescent="0.25">
      <c r="A227" t="s">
        <v>112</v>
      </c>
      <c r="B227">
        <v>1.93</v>
      </c>
      <c r="C227">
        <v>-0.1</v>
      </c>
      <c r="D227">
        <v>-0.61</v>
      </c>
      <c r="E227">
        <v>0.104</v>
      </c>
      <c r="F227" s="33">
        <v>0</v>
      </c>
      <c r="G227">
        <v>2.9000000000000001E-2</v>
      </c>
      <c r="H227">
        <v>7.0000000000000007E-2</v>
      </c>
      <c r="I227">
        <v>-0.2</v>
      </c>
      <c r="J227">
        <v>-0.12</v>
      </c>
      <c r="K227">
        <v>-2.46</v>
      </c>
      <c r="L227">
        <v>-2.88</v>
      </c>
      <c r="M227" s="33">
        <v>-0.52080000000000004</v>
      </c>
      <c r="N227" s="33">
        <v>-1.0672999999999999</v>
      </c>
      <c r="O227">
        <v>1.76</v>
      </c>
      <c r="P227" s="33">
        <v>-0.15640000000000001</v>
      </c>
      <c r="Q227" s="33">
        <v>6.1649000000000003</v>
      </c>
      <c r="R227" s="34">
        <v>25470.3</v>
      </c>
      <c r="S227" s="34">
        <v>-39186000</v>
      </c>
      <c r="T227">
        <v>-6.97</v>
      </c>
      <c r="U227" s="33">
        <v>0.99990000000000001</v>
      </c>
    </row>
    <row r="228" spans="1:21" x14ac:dyDescent="0.25">
      <c r="A228" t="s">
        <v>214</v>
      </c>
      <c r="B228">
        <v>5.29</v>
      </c>
      <c r="C228">
        <v>3.38</v>
      </c>
      <c r="D228">
        <v>0.63</v>
      </c>
      <c r="E228">
        <v>2.0979999999999999</v>
      </c>
      <c r="F228" s="33">
        <v>7.0099999999999996E-2</v>
      </c>
      <c r="G228">
        <v>0.248</v>
      </c>
      <c r="H228">
        <v>1.43</v>
      </c>
      <c r="I228">
        <v>5.92</v>
      </c>
      <c r="J228">
        <v>-1.01</v>
      </c>
      <c r="K228">
        <v>11.27</v>
      </c>
      <c r="L228">
        <v>10.039999999999999</v>
      </c>
      <c r="M228" s="33">
        <v>0.35460000000000003</v>
      </c>
      <c r="N228" s="33">
        <v>0.61619999999999997</v>
      </c>
      <c r="O228">
        <v>2.1</v>
      </c>
      <c r="P228" s="33">
        <v>4.8099999999999997E-2</v>
      </c>
      <c r="Q228" s="33">
        <v>0.1855</v>
      </c>
      <c r="R228" s="34">
        <v>20292000</v>
      </c>
      <c r="S228" s="34">
        <v>5753280000</v>
      </c>
      <c r="T228">
        <v>0.9</v>
      </c>
      <c r="U228" s="33">
        <v>1.18E-2</v>
      </c>
    </row>
    <row r="229" spans="1:21" x14ac:dyDescent="0.25">
      <c r="A229" t="s">
        <v>414</v>
      </c>
      <c r="B229">
        <v>22</v>
      </c>
      <c r="C229">
        <v>11.62</v>
      </c>
      <c r="D229">
        <v>0.39</v>
      </c>
      <c r="E229">
        <v>0.106</v>
      </c>
      <c r="F229" s="33">
        <v>2.8799999999999999E-2</v>
      </c>
      <c r="G229">
        <v>0.10199999999999999</v>
      </c>
      <c r="H229">
        <v>0.32</v>
      </c>
      <c r="I229">
        <v>2.38</v>
      </c>
      <c r="J229">
        <v>1.75</v>
      </c>
      <c r="K229">
        <v>7.91</v>
      </c>
      <c r="L229">
        <v>6.95</v>
      </c>
      <c r="M229" s="33">
        <v>4.48E-2</v>
      </c>
      <c r="N229" s="33">
        <v>1.1599999999999999E-2</v>
      </c>
      <c r="O229">
        <v>1.82</v>
      </c>
      <c r="P229" s="33">
        <v>6.4000000000000001E-2</v>
      </c>
      <c r="Q229" s="33">
        <v>3.3300000000000003E-2</v>
      </c>
      <c r="R229" s="34">
        <v>1403.27</v>
      </c>
      <c r="S229" s="34">
        <v>602064000</v>
      </c>
      <c r="T229">
        <v>1.99</v>
      </c>
      <c r="U229" s="33">
        <v>6.0199999999999997E-2</v>
      </c>
    </row>
    <row r="230" spans="1:21" x14ac:dyDescent="0.25">
      <c r="A230" t="s">
        <v>415</v>
      </c>
      <c r="B230">
        <v>29.02</v>
      </c>
      <c r="C230">
        <v>20.27</v>
      </c>
      <c r="D230">
        <v>1.93</v>
      </c>
      <c r="E230">
        <v>4.6669999999999998</v>
      </c>
      <c r="F230" s="33">
        <v>2.8999999999999998E-3</v>
      </c>
      <c r="G230">
        <v>0.46800000000000003</v>
      </c>
      <c r="H230">
        <v>2.34</v>
      </c>
      <c r="I230">
        <v>12.96</v>
      </c>
      <c r="J230">
        <v>-1.68</v>
      </c>
      <c r="K230">
        <v>20.350000000000001</v>
      </c>
      <c r="L230">
        <v>12.83</v>
      </c>
      <c r="M230" s="33">
        <v>0.36020000000000002</v>
      </c>
      <c r="N230" s="33">
        <v>0.46310000000000001</v>
      </c>
      <c r="O230">
        <v>5.31</v>
      </c>
      <c r="P230" s="33">
        <v>4.5600000000000002E-2</v>
      </c>
      <c r="Q230" s="33">
        <v>9.5100000000000004E-2</v>
      </c>
      <c r="R230" s="34">
        <v>7666510</v>
      </c>
      <c r="S230" s="34">
        <v>1762140000</v>
      </c>
      <c r="T230">
        <v>1.94</v>
      </c>
      <c r="U230" s="33">
        <v>1.01E-2</v>
      </c>
    </row>
    <row r="231" spans="1:21" x14ac:dyDescent="0.25">
      <c r="A231" t="s">
        <v>207</v>
      </c>
      <c r="B231">
        <v>5.91</v>
      </c>
      <c r="C231">
        <v>8.23</v>
      </c>
      <c r="D231">
        <v>0.95</v>
      </c>
      <c r="E231">
        <v>0.182</v>
      </c>
      <c r="F231" s="33">
        <v>7.1199999999999999E-2</v>
      </c>
      <c r="G231">
        <v>0.13500000000000001</v>
      </c>
      <c r="H231">
        <v>0.95</v>
      </c>
      <c r="I231">
        <v>1.62</v>
      </c>
      <c r="J231">
        <v>-0.28000000000000003</v>
      </c>
      <c r="K231">
        <v>7.77</v>
      </c>
      <c r="L231">
        <v>4.8</v>
      </c>
      <c r="M231" s="33">
        <v>0.11219999999999999</v>
      </c>
      <c r="N231" s="33">
        <v>2.2100000000000002E-2</v>
      </c>
      <c r="O231">
        <v>1.62</v>
      </c>
      <c r="P231" s="33">
        <v>0.1004</v>
      </c>
      <c r="Q231" s="33">
        <v>0.1148</v>
      </c>
      <c r="R231" s="34">
        <v>3685890</v>
      </c>
      <c r="S231" s="34">
        <v>1791170000</v>
      </c>
      <c r="T231">
        <v>4.6399999999999997</v>
      </c>
      <c r="U231" s="33">
        <v>0.55510000000000004</v>
      </c>
    </row>
    <row r="232" spans="1:21" x14ac:dyDescent="0.25">
      <c r="A232" t="s">
        <v>109</v>
      </c>
      <c r="B232">
        <v>8.0500000000000007</v>
      </c>
      <c r="C232">
        <v>8.3800000000000008</v>
      </c>
      <c r="D232">
        <v>2.0299999999999998</v>
      </c>
      <c r="E232">
        <v>0.91300000000000003</v>
      </c>
      <c r="F232" s="33">
        <v>0.1024</v>
      </c>
      <c r="G232">
        <v>0.95499999999999996</v>
      </c>
      <c r="H232">
        <v>2.88</v>
      </c>
      <c r="I232">
        <v>5.97</v>
      </c>
      <c r="J232">
        <v>7.23</v>
      </c>
      <c r="K232">
        <v>5.83</v>
      </c>
      <c r="L232">
        <v>5.0199999999999996</v>
      </c>
      <c r="M232" s="33">
        <v>0.15290000000000001</v>
      </c>
      <c r="N232" s="33">
        <v>0.1089</v>
      </c>
      <c r="O232">
        <v>2.0099999999999998</v>
      </c>
      <c r="P232" s="33">
        <v>0.23169999999999999</v>
      </c>
      <c r="Q232" s="33">
        <v>0.2417</v>
      </c>
      <c r="R232" s="34">
        <v>13041600</v>
      </c>
      <c r="S232" s="34">
        <v>714159000</v>
      </c>
      <c r="T232">
        <v>0.45</v>
      </c>
      <c r="U232" s="33">
        <v>0.16320000000000001</v>
      </c>
    </row>
    <row r="233" spans="1:21" x14ac:dyDescent="0.25">
      <c r="A233" t="s">
        <v>416</v>
      </c>
      <c r="B233">
        <v>18.64</v>
      </c>
      <c r="C233">
        <v>12.75</v>
      </c>
      <c r="D233">
        <v>2.67</v>
      </c>
      <c r="E233">
        <v>1.1479999999999999</v>
      </c>
      <c r="F233" s="33">
        <v>6.2899999999999998E-2</v>
      </c>
      <c r="G233">
        <v>0.40100000000000002</v>
      </c>
      <c r="H233">
        <v>3.62</v>
      </c>
      <c r="I233">
        <v>5.03</v>
      </c>
      <c r="J233">
        <v>-0.69</v>
      </c>
      <c r="K233">
        <v>11.51</v>
      </c>
      <c r="L233">
        <v>5.87</v>
      </c>
      <c r="M233" s="33">
        <v>0.22819999999999999</v>
      </c>
      <c r="N233" s="33">
        <v>0.1013</v>
      </c>
      <c r="O233">
        <v>1.96</v>
      </c>
      <c r="P233" s="33">
        <v>9.5799999999999996E-2</v>
      </c>
      <c r="Q233" s="33">
        <v>0.2094</v>
      </c>
      <c r="R233" s="34">
        <v>108666000</v>
      </c>
      <c r="S233" s="34">
        <v>8626520000</v>
      </c>
      <c r="T233">
        <v>4.1900000000000004</v>
      </c>
      <c r="U233" s="33">
        <v>9.4899999999999998E-2</v>
      </c>
    </row>
    <row r="234" spans="1:21" x14ac:dyDescent="0.25">
      <c r="A234" t="s">
        <v>138</v>
      </c>
      <c r="B234">
        <v>3.88</v>
      </c>
      <c r="C234">
        <v>13.27</v>
      </c>
      <c r="D234">
        <v>2.78</v>
      </c>
      <c r="E234">
        <v>1.194</v>
      </c>
      <c r="F234" s="33">
        <v>6.0400000000000002E-2</v>
      </c>
      <c r="G234">
        <v>0.41699999999999998</v>
      </c>
      <c r="H234">
        <v>3.77</v>
      </c>
      <c r="I234">
        <v>5.23</v>
      </c>
      <c r="J234">
        <v>-0.72</v>
      </c>
      <c r="K234">
        <v>11.72</v>
      </c>
      <c r="L234">
        <v>5.97</v>
      </c>
      <c r="M234" s="33">
        <v>0.22819999999999999</v>
      </c>
      <c r="N234" s="33">
        <v>0.1013</v>
      </c>
      <c r="O234">
        <v>1.96</v>
      </c>
      <c r="P234" s="33">
        <v>9.5799999999999996E-2</v>
      </c>
      <c r="Q234" s="33">
        <v>0.2094</v>
      </c>
      <c r="R234" s="34">
        <v>1751670</v>
      </c>
      <c r="S234" s="34">
        <v>8626520000</v>
      </c>
      <c r="T234">
        <v>4.1900000000000004</v>
      </c>
      <c r="U234" s="33">
        <v>9.4899999999999998E-2</v>
      </c>
    </row>
    <row r="235" spans="1:21" x14ac:dyDescent="0.25">
      <c r="A235" t="s">
        <v>147</v>
      </c>
      <c r="B235">
        <v>3.69</v>
      </c>
      <c r="C235">
        <v>12.62</v>
      </c>
      <c r="D235">
        <v>2.64</v>
      </c>
      <c r="E235">
        <v>1.1359999999999999</v>
      </c>
      <c r="F235" s="33">
        <v>6.3500000000000001E-2</v>
      </c>
      <c r="G235">
        <v>0.39700000000000002</v>
      </c>
      <c r="H235">
        <v>3.58</v>
      </c>
      <c r="I235">
        <v>4.9800000000000004</v>
      </c>
      <c r="J235">
        <v>-0.69</v>
      </c>
      <c r="K235">
        <v>11.46</v>
      </c>
      <c r="L235">
        <v>5.84</v>
      </c>
      <c r="M235" s="33">
        <v>0.22819999999999999</v>
      </c>
      <c r="N235" s="33">
        <v>0.1013</v>
      </c>
      <c r="O235">
        <v>1.96</v>
      </c>
      <c r="P235" s="33">
        <v>9.5799999999999996E-2</v>
      </c>
      <c r="Q235" s="33">
        <v>0.2094</v>
      </c>
      <c r="R235" s="34">
        <v>7469110</v>
      </c>
      <c r="S235" s="34">
        <v>8626520000</v>
      </c>
      <c r="T235">
        <v>4.1900000000000004</v>
      </c>
      <c r="U235" s="33">
        <v>9.4899999999999998E-2</v>
      </c>
    </row>
    <row r="236" spans="1:21" x14ac:dyDescent="0.25">
      <c r="A236" t="s">
        <v>184</v>
      </c>
      <c r="B236">
        <v>8.8699999999999992</v>
      </c>
      <c r="C236">
        <v>-2.79</v>
      </c>
      <c r="D236">
        <v>0.96</v>
      </c>
      <c r="E236">
        <v>0.30299999999999999</v>
      </c>
      <c r="F236" s="33">
        <v>0</v>
      </c>
      <c r="G236">
        <v>0.14299999999999999</v>
      </c>
      <c r="H236">
        <v>1.1000000000000001</v>
      </c>
      <c r="I236">
        <v>2.94</v>
      </c>
      <c r="J236">
        <v>-0.26</v>
      </c>
      <c r="K236">
        <v>15.07</v>
      </c>
      <c r="L236">
        <v>8.6300000000000008</v>
      </c>
      <c r="M236" s="33">
        <v>0.1032</v>
      </c>
      <c r="N236" s="33">
        <v>-0.1085</v>
      </c>
      <c r="O236">
        <v>1.84</v>
      </c>
      <c r="P236" s="33">
        <v>5.5399999999999998E-2</v>
      </c>
      <c r="Q236" s="33">
        <v>-0.3427</v>
      </c>
      <c r="R236" s="34">
        <v>9444.73</v>
      </c>
      <c r="S236" s="34">
        <v>717552000</v>
      </c>
      <c r="T236">
        <v>4.25</v>
      </c>
      <c r="U236" s="33">
        <v>0.13370000000000001</v>
      </c>
    </row>
    <row r="237" spans="1:21" x14ac:dyDescent="0.25">
      <c r="A237" t="s">
        <v>47</v>
      </c>
      <c r="B237">
        <v>11.37</v>
      </c>
      <c r="C237">
        <v>103.06</v>
      </c>
      <c r="D237">
        <v>1.5</v>
      </c>
      <c r="E237">
        <v>14.79</v>
      </c>
      <c r="F237" s="33">
        <v>6.4000000000000003E-3</v>
      </c>
      <c r="G237">
        <v>1.145</v>
      </c>
      <c r="H237">
        <v>-73.72</v>
      </c>
      <c r="I237">
        <v>29</v>
      </c>
      <c r="J237">
        <v>-6.61</v>
      </c>
      <c r="K237">
        <v>31.59</v>
      </c>
      <c r="L237">
        <v>29.06</v>
      </c>
      <c r="M237" s="33">
        <v>0.51</v>
      </c>
      <c r="N237" s="33">
        <v>0.14349999999999999</v>
      </c>
      <c r="O237">
        <v>0.8</v>
      </c>
      <c r="P237" s="33">
        <v>3.9699999999999999E-2</v>
      </c>
      <c r="Q237" s="33">
        <v>1.46E-2</v>
      </c>
      <c r="R237" s="34">
        <v>1511130</v>
      </c>
      <c r="S237" s="34">
        <v>729614000</v>
      </c>
      <c r="T237">
        <v>0.14000000000000001</v>
      </c>
      <c r="U237" s="33">
        <v>-7.0300000000000001E-2</v>
      </c>
    </row>
    <row r="238" spans="1:21" x14ac:dyDescent="0.25">
      <c r="A238" t="s">
        <v>89</v>
      </c>
      <c r="B238">
        <v>11.88</v>
      </c>
      <c r="C238">
        <v>6.46</v>
      </c>
      <c r="D238">
        <v>1.55</v>
      </c>
      <c r="E238">
        <v>1.452</v>
      </c>
      <c r="F238" s="33">
        <v>8.6400000000000005E-2</v>
      </c>
      <c r="G238">
        <v>0.65800000000000003</v>
      </c>
      <c r="H238">
        <v>1.08</v>
      </c>
      <c r="I238">
        <v>6.7</v>
      </c>
      <c r="J238">
        <v>2.48</v>
      </c>
      <c r="K238">
        <v>6.71</v>
      </c>
      <c r="L238">
        <v>6.69</v>
      </c>
      <c r="M238" s="33">
        <v>0.21690000000000001</v>
      </c>
      <c r="N238" s="33">
        <v>0.2606</v>
      </c>
      <c r="O238">
        <v>4.8499999999999996</v>
      </c>
      <c r="P238" s="33">
        <v>0.12559999999999999</v>
      </c>
      <c r="Q238" s="33">
        <v>0.2407</v>
      </c>
      <c r="R238" s="34">
        <v>9123740</v>
      </c>
      <c r="S238" s="34">
        <v>1493340000</v>
      </c>
      <c r="T238">
        <v>0.48</v>
      </c>
      <c r="U238" s="33">
        <v>0.3831</v>
      </c>
    </row>
    <row r="239" spans="1:21" x14ac:dyDescent="0.25">
      <c r="A239" t="s">
        <v>18</v>
      </c>
      <c r="B239">
        <v>31.02</v>
      </c>
      <c r="C239">
        <v>8.41</v>
      </c>
      <c r="D239">
        <v>4.74</v>
      </c>
      <c r="E239">
        <v>0.875</v>
      </c>
      <c r="F239" s="33">
        <v>8.5000000000000006E-2</v>
      </c>
      <c r="G239">
        <v>1.133</v>
      </c>
      <c r="H239">
        <v>7.33</v>
      </c>
      <c r="I239">
        <v>5.12</v>
      </c>
      <c r="J239">
        <v>-7.73</v>
      </c>
      <c r="K239">
        <v>5.98</v>
      </c>
      <c r="L239">
        <v>5.25</v>
      </c>
      <c r="M239" s="33">
        <v>0.17100000000000001</v>
      </c>
      <c r="N239" s="33">
        <v>0.104</v>
      </c>
      <c r="O239">
        <v>1.34</v>
      </c>
      <c r="P239" s="33">
        <v>0.34749999999999998</v>
      </c>
      <c r="Q239" s="33">
        <v>0.56359999999999999</v>
      </c>
      <c r="R239" s="34">
        <v>11677400</v>
      </c>
      <c r="S239" s="34">
        <v>886641000</v>
      </c>
      <c r="T239">
        <v>1.1599999999999999</v>
      </c>
      <c r="U239" s="33">
        <v>0.14410000000000001</v>
      </c>
    </row>
    <row r="240" spans="1:21" x14ac:dyDescent="0.25">
      <c r="A240" t="s">
        <v>156</v>
      </c>
      <c r="B240">
        <v>6.4</v>
      </c>
      <c r="C240">
        <v>0.99</v>
      </c>
      <c r="D240">
        <v>0.42</v>
      </c>
      <c r="E240">
        <v>0.156</v>
      </c>
      <c r="F240" s="33">
        <v>0</v>
      </c>
      <c r="G240">
        <v>8.8999999999999996E-2</v>
      </c>
      <c r="H240">
        <v>0.92</v>
      </c>
      <c r="I240">
        <v>1.23</v>
      </c>
      <c r="J240">
        <v>-0.19</v>
      </c>
      <c r="K240">
        <v>4.54</v>
      </c>
      <c r="L240">
        <v>3.09</v>
      </c>
      <c r="M240" s="33">
        <v>0.1263</v>
      </c>
      <c r="N240" s="33">
        <v>0.15820000000000001</v>
      </c>
      <c r="O240">
        <v>1.44</v>
      </c>
      <c r="P240" s="33">
        <v>9.2100000000000001E-2</v>
      </c>
      <c r="Q240" s="33">
        <v>0.42920000000000003</v>
      </c>
      <c r="R240" s="34">
        <v>5533920</v>
      </c>
      <c r="S240" s="34">
        <v>5639690000</v>
      </c>
      <c r="T240">
        <v>1.77</v>
      </c>
      <c r="U240" s="33">
        <v>1.54E-2</v>
      </c>
    </row>
    <row r="241" spans="1:21" x14ac:dyDescent="0.25">
      <c r="A241" t="s">
        <v>417</v>
      </c>
      <c r="B241">
        <v>36.01</v>
      </c>
      <c r="C241">
        <v>16.64</v>
      </c>
      <c r="D241">
        <v>1.82</v>
      </c>
      <c r="E241">
        <v>0</v>
      </c>
      <c r="F241" s="33">
        <v>3.95E-2</v>
      </c>
      <c r="G241">
        <v>1.706</v>
      </c>
      <c r="H241">
        <v>6.65</v>
      </c>
      <c r="I241">
        <v>-54.89</v>
      </c>
      <c r="J241">
        <v>7.07</v>
      </c>
      <c r="K241">
        <v>-45.91</v>
      </c>
      <c r="L241">
        <v>-45.91</v>
      </c>
      <c r="M241" s="33">
        <v>0</v>
      </c>
      <c r="N241" s="33">
        <v>0</v>
      </c>
      <c r="O241">
        <v>6.18</v>
      </c>
      <c r="P241" s="33">
        <v>-4.3099999999999999E-2</v>
      </c>
      <c r="Q241" s="33">
        <v>0.1096</v>
      </c>
      <c r="R241" s="34">
        <v>1249.71</v>
      </c>
      <c r="S241" s="34">
        <v>232276000</v>
      </c>
      <c r="T241">
        <v>0</v>
      </c>
      <c r="U241" s="33">
        <v>0</v>
      </c>
    </row>
    <row r="242" spans="1:21" x14ac:dyDescent="0.25">
      <c r="A242" t="s">
        <v>253</v>
      </c>
      <c r="B242">
        <v>2.82</v>
      </c>
      <c r="C242">
        <v>-6.48</v>
      </c>
      <c r="D242">
        <v>1.03</v>
      </c>
      <c r="E242">
        <v>0.2</v>
      </c>
      <c r="F242" s="33">
        <v>4.3299999999999998E-2</v>
      </c>
      <c r="G242">
        <v>0.16</v>
      </c>
      <c r="H242">
        <v>0.66</v>
      </c>
      <c r="I242">
        <v>7.53</v>
      </c>
      <c r="J242">
        <v>-1.07</v>
      </c>
      <c r="K242">
        <v>9.84</v>
      </c>
      <c r="L242">
        <v>3.47</v>
      </c>
      <c r="M242" s="33">
        <v>2.6599999999999999E-2</v>
      </c>
      <c r="N242" s="33">
        <v>-3.09E-2</v>
      </c>
      <c r="O242">
        <v>1.54</v>
      </c>
      <c r="P242" s="33">
        <v>2.64E-2</v>
      </c>
      <c r="Q242" s="33">
        <v>-0.15840000000000001</v>
      </c>
      <c r="R242" s="34">
        <v>9353410</v>
      </c>
      <c r="S242" s="34">
        <v>536003000</v>
      </c>
      <c r="T242">
        <v>0.93</v>
      </c>
      <c r="U242" s="33">
        <v>0.1094</v>
      </c>
    </row>
    <row r="243" spans="1:21" x14ac:dyDescent="0.25">
      <c r="A243" t="s">
        <v>143</v>
      </c>
      <c r="B243">
        <v>21.61</v>
      </c>
      <c r="C243">
        <v>5.07</v>
      </c>
      <c r="D243">
        <v>0.52</v>
      </c>
      <c r="E243">
        <v>8.5820000000000007</v>
      </c>
      <c r="F243" s="33">
        <v>9.0399999999999994E-2</v>
      </c>
      <c r="G243">
        <v>0.28199999999999997</v>
      </c>
      <c r="H243">
        <v>13.6</v>
      </c>
      <c r="I243">
        <v>11.91</v>
      </c>
      <c r="J243">
        <v>-0.88</v>
      </c>
      <c r="K243">
        <v>23.94</v>
      </c>
      <c r="L243">
        <v>23.03</v>
      </c>
      <c r="M243" s="33">
        <v>0.72060000000000002</v>
      </c>
      <c r="N243" s="33">
        <v>1.6971000000000001</v>
      </c>
      <c r="O243">
        <v>1.18</v>
      </c>
      <c r="P243" s="33">
        <v>2.4199999999999999E-2</v>
      </c>
      <c r="Q243" s="33">
        <v>0.10199999999999999</v>
      </c>
      <c r="R243" s="34">
        <v>4928500</v>
      </c>
      <c r="S243" s="34">
        <v>3672920000</v>
      </c>
      <c r="T243">
        <v>0.55000000000000004</v>
      </c>
      <c r="U243" s="33">
        <v>0.12239999999999999</v>
      </c>
    </row>
    <row r="244" spans="1:21" x14ac:dyDescent="0.25">
      <c r="A244" t="s">
        <v>212</v>
      </c>
      <c r="B244">
        <v>25.5</v>
      </c>
      <c r="C244">
        <v>38.090000000000003</v>
      </c>
      <c r="D244">
        <v>2.7</v>
      </c>
      <c r="E244">
        <v>0.95699999999999996</v>
      </c>
      <c r="F244" s="33">
        <v>0</v>
      </c>
      <c r="G244">
        <v>0.69399999999999995</v>
      </c>
      <c r="H244">
        <v>25.91</v>
      </c>
      <c r="I244">
        <v>10.26</v>
      </c>
      <c r="J244">
        <v>-1.44</v>
      </c>
      <c r="K244">
        <v>15.3</v>
      </c>
      <c r="L244">
        <v>7.37</v>
      </c>
      <c r="M244" s="33">
        <v>9.3200000000000005E-2</v>
      </c>
      <c r="N244" s="33">
        <v>2.5100000000000001E-2</v>
      </c>
      <c r="O244">
        <v>1.1100000000000001</v>
      </c>
      <c r="P244" s="33">
        <v>7.6499999999999999E-2</v>
      </c>
      <c r="Q244" s="33">
        <v>7.0999999999999994E-2</v>
      </c>
      <c r="R244" s="34">
        <v>386514</v>
      </c>
      <c r="S244" s="34">
        <v>1011710000</v>
      </c>
      <c r="T244">
        <v>1.66</v>
      </c>
      <c r="U244" s="33">
        <v>0.2581</v>
      </c>
    </row>
    <row r="245" spans="1:21" x14ac:dyDescent="0.25">
      <c r="A245" t="s">
        <v>163</v>
      </c>
      <c r="B245">
        <v>1.65</v>
      </c>
      <c r="C245">
        <v>11.77</v>
      </c>
      <c r="D245">
        <v>1.05</v>
      </c>
      <c r="E245">
        <v>1.2010000000000001</v>
      </c>
      <c r="F245" s="33">
        <v>4.41E-2</v>
      </c>
      <c r="G245">
        <v>0.59</v>
      </c>
      <c r="H245">
        <v>5.4</v>
      </c>
      <c r="I245">
        <v>6.32</v>
      </c>
      <c r="J245">
        <v>-4.16</v>
      </c>
      <c r="K245">
        <v>4.32</v>
      </c>
      <c r="L245">
        <v>2.86</v>
      </c>
      <c r="M245" s="33">
        <v>0.19009999999999999</v>
      </c>
      <c r="N245" s="33">
        <v>0.16400000000000001</v>
      </c>
      <c r="O245">
        <v>1.56</v>
      </c>
      <c r="P245" s="33">
        <v>0.1168</v>
      </c>
      <c r="Q245" s="33">
        <v>8.8999999999999996E-2</v>
      </c>
      <c r="R245" s="34">
        <v>242152</v>
      </c>
      <c r="S245" s="34">
        <v>232403000</v>
      </c>
      <c r="T245">
        <v>0</v>
      </c>
      <c r="U245" s="33">
        <v>-3.5000000000000001E-3</v>
      </c>
    </row>
    <row r="246" spans="1:21" x14ac:dyDescent="0.25">
      <c r="A246" t="s">
        <v>205</v>
      </c>
      <c r="B246">
        <v>18.420000000000002</v>
      </c>
      <c r="C246">
        <v>15.27</v>
      </c>
      <c r="D246">
        <v>1.9</v>
      </c>
      <c r="E246">
        <v>1.32</v>
      </c>
      <c r="F246" s="33">
        <v>3.5499999999999997E-2</v>
      </c>
      <c r="G246">
        <v>1.0569999999999999</v>
      </c>
      <c r="H246">
        <v>4.6100000000000003</v>
      </c>
      <c r="I246">
        <v>6.16</v>
      </c>
      <c r="J246">
        <v>8.25</v>
      </c>
      <c r="K246">
        <v>5.78</v>
      </c>
      <c r="L246">
        <v>4.1399999999999997</v>
      </c>
      <c r="M246" s="33">
        <v>0.21429999999999999</v>
      </c>
      <c r="N246" s="33">
        <v>8.6499999999999994E-2</v>
      </c>
      <c r="O246">
        <v>1.67</v>
      </c>
      <c r="P246" s="33">
        <v>0.2056</v>
      </c>
      <c r="Q246" s="33">
        <v>0.1245</v>
      </c>
      <c r="R246" s="34">
        <v>253542000</v>
      </c>
      <c r="S246" s="34">
        <v>10265800000</v>
      </c>
      <c r="T246">
        <v>0.04</v>
      </c>
      <c r="U246" s="33">
        <v>0.1731</v>
      </c>
    </row>
    <row r="247" spans="1:21" x14ac:dyDescent="0.25">
      <c r="A247" t="s">
        <v>191</v>
      </c>
      <c r="B247">
        <v>1.2</v>
      </c>
      <c r="C247">
        <v>-1.41</v>
      </c>
      <c r="D247">
        <v>0.42</v>
      </c>
      <c r="E247">
        <v>0.47499999999999998</v>
      </c>
      <c r="F247" s="33">
        <v>0</v>
      </c>
      <c r="G247">
        <v>0.1</v>
      </c>
      <c r="H247">
        <v>3.13</v>
      </c>
      <c r="I247">
        <v>-2.92</v>
      </c>
      <c r="J247">
        <v>-0.21</v>
      </c>
      <c r="K247">
        <v>-13.22</v>
      </c>
      <c r="L247">
        <v>-13.22</v>
      </c>
      <c r="M247" s="33">
        <v>-0.16259999999999999</v>
      </c>
      <c r="N247" s="33">
        <v>-0.33560000000000001</v>
      </c>
      <c r="O247">
        <v>1.1299999999999999</v>
      </c>
      <c r="P247" s="33">
        <v>-3.5999999999999997E-2</v>
      </c>
      <c r="Q247" s="33">
        <v>-0.2949</v>
      </c>
      <c r="R247" s="34">
        <v>155316</v>
      </c>
      <c r="S247" s="34">
        <v>121242000</v>
      </c>
      <c r="T247">
        <v>1.49</v>
      </c>
      <c r="U247" s="33">
        <v>0.11890000000000001</v>
      </c>
    </row>
    <row r="248" spans="1:21" x14ac:dyDescent="0.25">
      <c r="A248" t="s">
        <v>418</v>
      </c>
      <c r="B248">
        <v>5.95</v>
      </c>
      <c r="C248">
        <v>6.77</v>
      </c>
      <c r="D248">
        <v>1.57</v>
      </c>
      <c r="E248">
        <v>1.829</v>
      </c>
      <c r="F248" s="33">
        <v>1.95E-2</v>
      </c>
      <c r="G248">
        <v>1.1160000000000001</v>
      </c>
      <c r="H248">
        <v>26.06</v>
      </c>
      <c r="I248">
        <v>13.13</v>
      </c>
      <c r="J248">
        <v>-7.69</v>
      </c>
      <c r="K248">
        <v>13.17</v>
      </c>
      <c r="L248">
        <v>6.99</v>
      </c>
      <c r="M248" s="33">
        <v>0.13930000000000001</v>
      </c>
      <c r="N248" s="33">
        <v>0.26989999999999997</v>
      </c>
      <c r="O248">
        <v>1.41</v>
      </c>
      <c r="P248" s="33">
        <v>9.5500000000000002E-2</v>
      </c>
      <c r="Q248" s="33">
        <v>0.2324</v>
      </c>
      <c r="R248" s="34">
        <v>6964.46</v>
      </c>
      <c r="S248" s="34">
        <v>157085000</v>
      </c>
      <c r="T248">
        <v>0.12</v>
      </c>
      <c r="U248" s="33">
        <v>5.0099999999999999E-2</v>
      </c>
    </row>
    <row r="249" spans="1:21" x14ac:dyDescent="0.25">
      <c r="A249" t="s">
        <v>178</v>
      </c>
      <c r="B249">
        <v>3.33</v>
      </c>
      <c r="C249">
        <v>6.59</v>
      </c>
      <c r="D249">
        <v>0.32</v>
      </c>
      <c r="E249">
        <v>0.251</v>
      </c>
      <c r="F249" s="33">
        <v>5.7099999999999998E-2</v>
      </c>
      <c r="G249">
        <v>0.14099999999999999</v>
      </c>
      <c r="H249">
        <v>0.67</v>
      </c>
      <c r="I249">
        <v>1.08</v>
      </c>
      <c r="J249">
        <v>-1.91</v>
      </c>
      <c r="K249">
        <v>0.34</v>
      </c>
      <c r="L249">
        <v>0.17</v>
      </c>
      <c r="M249" s="33">
        <v>0.23200000000000001</v>
      </c>
      <c r="N249" s="33">
        <v>3.8100000000000002E-2</v>
      </c>
      <c r="O249">
        <v>1.76</v>
      </c>
      <c r="P249" s="33">
        <v>0.15579999999999999</v>
      </c>
      <c r="Q249" s="33">
        <v>4.8399999999999999E-2</v>
      </c>
      <c r="R249" s="34">
        <v>113377</v>
      </c>
      <c r="S249" s="34">
        <v>662855000</v>
      </c>
      <c r="T249">
        <v>0</v>
      </c>
      <c r="U249" s="33">
        <v>-9.2299999999999993E-2</v>
      </c>
    </row>
    <row r="250" spans="1:21" x14ac:dyDescent="0.25">
      <c r="A250" t="s">
        <v>162</v>
      </c>
      <c r="B250">
        <v>3.92</v>
      </c>
      <c r="C250">
        <v>67.83</v>
      </c>
      <c r="D250">
        <v>0.81</v>
      </c>
      <c r="E250">
        <v>1.5780000000000001</v>
      </c>
      <c r="F250" s="33">
        <v>1.83E-2</v>
      </c>
      <c r="G250">
        <v>0.55200000000000005</v>
      </c>
      <c r="H250">
        <v>11.37</v>
      </c>
      <c r="I250">
        <v>17.95</v>
      </c>
      <c r="J250">
        <v>31.38</v>
      </c>
      <c r="K250">
        <v>14.74</v>
      </c>
      <c r="L250">
        <v>7.07</v>
      </c>
      <c r="M250" s="33">
        <v>8.7900000000000006E-2</v>
      </c>
      <c r="N250" s="33">
        <v>2.3300000000000001E-2</v>
      </c>
      <c r="O250">
        <v>1.17</v>
      </c>
      <c r="P250" s="33">
        <v>3.5299999999999998E-2</v>
      </c>
      <c r="Q250" s="33">
        <v>1.1900000000000001E-2</v>
      </c>
      <c r="R250" s="34">
        <v>33224800</v>
      </c>
      <c r="S250" s="34">
        <v>2736470000</v>
      </c>
      <c r="T250">
        <v>0.03</v>
      </c>
      <c r="U250" s="33">
        <v>0.2555</v>
      </c>
    </row>
    <row r="251" spans="1:21" x14ac:dyDescent="0.25">
      <c r="A251" t="s">
        <v>419</v>
      </c>
      <c r="B251">
        <v>3.05</v>
      </c>
      <c r="C251">
        <v>-17.41</v>
      </c>
      <c r="D251">
        <v>-0.43</v>
      </c>
      <c r="E251">
        <v>0</v>
      </c>
      <c r="F251" s="33">
        <v>0</v>
      </c>
      <c r="G251">
        <v>3.621</v>
      </c>
      <c r="H251">
        <v>-49.17</v>
      </c>
      <c r="I251">
        <v>-22.79</v>
      </c>
      <c r="J251">
        <v>-0.39</v>
      </c>
      <c r="K251">
        <v>-22.78</v>
      </c>
      <c r="L251">
        <v>-22.78</v>
      </c>
      <c r="M251" s="33">
        <v>0</v>
      </c>
      <c r="N251" s="33">
        <v>0</v>
      </c>
      <c r="O251">
        <v>0.02</v>
      </c>
      <c r="P251" s="33">
        <v>-0.1595</v>
      </c>
      <c r="Q251" s="33">
        <v>2.4899999999999999E-2</v>
      </c>
      <c r="R251" s="34">
        <v>97.32</v>
      </c>
      <c r="S251" s="34">
        <v>-6474000</v>
      </c>
      <c r="T251">
        <v>0</v>
      </c>
      <c r="U251" s="33">
        <v>0</v>
      </c>
    </row>
    <row r="252" spans="1:21" x14ac:dyDescent="0.25">
      <c r="A252" t="s">
        <v>420</v>
      </c>
      <c r="B252">
        <v>3</v>
      </c>
      <c r="C252">
        <v>-17.12</v>
      </c>
      <c r="D252">
        <v>-0.43</v>
      </c>
      <c r="E252">
        <v>0</v>
      </c>
      <c r="F252" s="33">
        <v>0</v>
      </c>
      <c r="G252">
        <v>3.5619999999999998</v>
      </c>
      <c r="H252">
        <v>-48.37</v>
      </c>
      <c r="I252">
        <v>-22.41</v>
      </c>
      <c r="J252">
        <v>-0.38</v>
      </c>
      <c r="K252">
        <v>-22.41</v>
      </c>
      <c r="L252">
        <v>-22.41</v>
      </c>
      <c r="M252" s="33">
        <v>0</v>
      </c>
      <c r="N252" s="33">
        <v>0</v>
      </c>
      <c r="O252">
        <v>0.02</v>
      </c>
      <c r="P252" s="33">
        <v>-0.1595</v>
      </c>
      <c r="Q252" s="33">
        <v>2.4899999999999999E-2</v>
      </c>
      <c r="R252" s="34">
        <v>121.29</v>
      </c>
      <c r="S252" s="34">
        <v>-6474000</v>
      </c>
      <c r="T252">
        <v>0</v>
      </c>
      <c r="U252" s="33">
        <v>0</v>
      </c>
    </row>
    <row r="253" spans="1:21" x14ac:dyDescent="0.25">
      <c r="A253" t="s">
        <v>188</v>
      </c>
      <c r="B253">
        <v>4.57</v>
      </c>
      <c r="C253">
        <v>-4.3</v>
      </c>
      <c r="D253">
        <v>1.07</v>
      </c>
      <c r="E253">
        <v>0.72399999999999998</v>
      </c>
      <c r="F253" s="33">
        <v>1.6400000000000001E-2</v>
      </c>
      <c r="G253">
        <v>0.35399999999999998</v>
      </c>
      <c r="H253">
        <v>1.54</v>
      </c>
      <c r="I253">
        <v>4.7300000000000004</v>
      </c>
      <c r="J253">
        <v>-1.1299999999999999</v>
      </c>
      <c r="K253">
        <v>7.05</v>
      </c>
      <c r="L253">
        <v>5.29</v>
      </c>
      <c r="M253" s="33">
        <v>0.153</v>
      </c>
      <c r="N253" s="33">
        <v>-0.16320000000000001</v>
      </c>
      <c r="O253">
        <v>2.95</v>
      </c>
      <c r="P253" s="33">
        <v>9.1899999999999996E-2</v>
      </c>
      <c r="Q253" s="33">
        <v>-0.248</v>
      </c>
      <c r="R253" s="34">
        <v>1754260</v>
      </c>
      <c r="S253" s="34">
        <v>1454640000</v>
      </c>
      <c r="T253">
        <v>0.98</v>
      </c>
      <c r="U253" s="33">
        <v>0.33379999999999999</v>
      </c>
    </row>
    <row r="254" spans="1:21" x14ac:dyDescent="0.25">
      <c r="A254" t="s">
        <v>132</v>
      </c>
      <c r="B254">
        <v>0.99</v>
      </c>
      <c r="C254">
        <v>-0.95</v>
      </c>
      <c r="D254">
        <v>374.17</v>
      </c>
      <c r="E254">
        <v>0.182</v>
      </c>
      <c r="F254" s="33">
        <v>0</v>
      </c>
      <c r="G254">
        <v>62.78</v>
      </c>
      <c r="H254" s="34">
        <v>1785.45</v>
      </c>
      <c r="I254">
        <v>-2.65</v>
      </c>
      <c r="J254">
        <v>-106.33</v>
      </c>
      <c r="K254">
        <v>-2.66</v>
      </c>
      <c r="L254">
        <v>3</v>
      </c>
      <c r="M254" s="33">
        <v>-6.88E-2</v>
      </c>
      <c r="N254" s="33">
        <v>-0.21429999999999999</v>
      </c>
      <c r="O254">
        <v>1.1200000000000001</v>
      </c>
      <c r="P254" s="33">
        <v>-26.575500000000002</v>
      </c>
      <c r="Q254" s="33">
        <v>-393.87700000000001</v>
      </c>
      <c r="R254" s="34">
        <v>423317</v>
      </c>
      <c r="S254" s="34">
        <v>324818</v>
      </c>
      <c r="T254">
        <v>1.94</v>
      </c>
      <c r="U254" s="33">
        <v>-2.3900000000000001E-2</v>
      </c>
    </row>
    <row r="255" spans="1:21" x14ac:dyDescent="0.25">
      <c r="A255" t="s">
        <v>85</v>
      </c>
      <c r="B255">
        <v>23.54</v>
      </c>
      <c r="C255">
        <v>14.24</v>
      </c>
      <c r="D255">
        <v>1</v>
      </c>
      <c r="E255">
        <v>0.82</v>
      </c>
      <c r="F255" s="33">
        <v>2.46E-2</v>
      </c>
      <c r="G255">
        <v>0.623</v>
      </c>
      <c r="H255">
        <v>2.52</v>
      </c>
      <c r="I255">
        <v>9.32</v>
      </c>
      <c r="J255">
        <v>7.49</v>
      </c>
      <c r="K255">
        <v>9.34</v>
      </c>
      <c r="L255">
        <v>6.48</v>
      </c>
      <c r="M255" s="33">
        <v>8.7999999999999995E-2</v>
      </c>
      <c r="N255" s="33">
        <v>5.7599999999999998E-2</v>
      </c>
      <c r="O255">
        <v>2.15</v>
      </c>
      <c r="P255" s="33">
        <v>9.0499999999999997E-2</v>
      </c>
      <c r="Q255" s="33">
        <v>7.0400000000000004E-2</v>
      </c>
      <c r="R255" s="34">
        <v>13698200</v>
      </c>
      <c r="S255" s="34">
        <v>7956180000</v>
      </c>
      <c r="T255">
        <v>0.28999999999999998</v>
      </c>
      <c r="U255" s="33">
        <v>9.1300000000000006E-2</v>
      </c>
    </row>
    <row r="256" spans="1:21" x14ac:dyDescent="0.25">
      <c r="A256" t="s">
        <v>171</v>
      </c>
      <c r="B256">
        <v>22.44</v>
      </c>
      <c r="C256">
        <v>6.82</v>
      </c>
      <c r="D256">
        <v>1.18</v>
      </c>
      <c r="E256">
        <v>1.1200000000000001</v>
      </c>
      <c r="F256" s="33">
        <v>5.5300000000000002E-2</v>
      </c>
      <c r="G256">
        <v>0.45200000000000001</v>
      </c>
      <c r="H256">
        <v>1.51</v>
      </c>
      <c r="I256">
        <v>6.02</v>
      </c>
      <c r="J256">
        <v>-3.41</v>
      </c>
      <c r="K256">
        <v>6.42</v>
      </c>
      <c r="L256">
        <v>6.19</v>
      </c>
      <c r="M256" s="33">
        <v>0.18609999999999999</v>
      </c>
      <c r="N256" s="33">
        <v>0.16420000000000001</v>
      </c>
      <c r="O256">
        <v>2.62</v>
      </c>
      <c r="P256" s="33">
        <v>8.6800000000000002E-2</v>
      </c>
      <c r="Q256" s="33">
        <v>0.17330000000000001</v>
      </c>
      <c r="R256" s="34">
        <v>11647700</v>
      </c>
      <c r="S256" s="34">
        <v>1611720000</v>
      </c>
      <c r="T256">
        <v>0.33</v>
      </c>
      <c r="U256" s="33">
        <v>0.31069999999999998</v>
      </c>
    </row>
    <row r="257" spans="1:21" x14ac:dyDescent="0.25">
      <c r="A257" t="s">
        <v>41</v>
      </c>
      <c r="B257">
        <v>1.1599999999999999</v>
      </c>
      <c r="C257">
        <v>-3.82</v>
      </c>
      <c r="D257">
        <v>0.34</v>
      </c>
      <c r="E257">
        <v>0.15</v>
      </c>
      <c r="F257" s="33">
        <v>0</v>
      </c>
      <c r="G257">
        <v>0.126</v>
      </c>
      <c r="H257">
        <v>-1.56</v>
      </c>
      <c r="I257">
        <v>-3.11</v>
      </c>
      <c r="J257">
        <v>-0.27</v>
      </c>
      <c r="K257">
        <v>-6.78</v>
      </c>
      <c r="L257">
        <v>5.12</v>
      </c>
      <c r="M257" s="33">
        <v>-4.82E-2</v>
      </c>
      <c r="N257" s="33">
        <v>-3.9199999999999999E-2</v>
      </c>
      <c r="O257">
        <v>0.66</v>
      </c>
      <c r="P257" s="33">
        <v>-4.7500000000000001E-2</v>
      </c>
      <c r="Q257" s="33">
        <v>-8.8099999999999998E-2</v>
      </c>
      <c r="R257" s="34">
        <v>745209</v>
      </c>
      <c r="S257" s="34">
        <v>987889000</v>
      </c>
      <c r="T257">
        <v>0.59</v>
      </c>
      <c r="U257" s="33">
        <v>0.1593</v>
      </c>
    </row>
    <row r="258" spans="1:21" x14ac:dyDescent="0.25">
      <c r="A258" t="s">
        <v>102</v>
      </c>
      <c r="B258">
        <v>3.4</v>
      </c>
      <c r="C258">
        <v>12.88</v>
      </c>
      <c r="D258">
        <v>0.65</v>
      </c>
      <c r="E258">
        <v>0.69499999999999995</v>
      </c>
      <c r="F258" s="33">
        <v>0.31359999999999999</v>
      </c>
      <c r="G258">
        <v>0.28199999999999997</v>
      </c>
      <c r="H258">
        <v>0.56999999999999995</v>
      </c>
      <c r="I258">
        <v>11.02</v>
      </c>
      <c r="J258">
        <v>1.06</v>
      </c>
      <c r="K258">
        <v>11.01</v>
      </c>
      <c r="L258">
        <v>10.37</v>
      </c>
      <c r="M258" s="33">
        <v>6.3100000000000003E-2</v>
      </c>
      <c r="N258" s="33">
        <v>0.11459999999999999</v>
      </c>
      <c r="O258">
        <v>2.78</v>
      </c>
      <c r="P258" s="33">
        <v>3.0599999999999999E-2</v>
      </c>
      <c r="Q258" s="33">
        <v>5.0299999999999997E-2</v>
      </c>
      <c r="R258" s="34">
        <v>1376830</v>
      </c>
      <c r="S258" s="34">
        <v>1083040000</v>
      </c>
      <c r="T258">
        <v>0.32</v>
      </c>
      <c r="U258" s="33">
        <v>0.1419</v>
      </c>
    </row>
    <row r="259" spans="1:21" x14ac:dyDescent="0.25">
      <c r="A259" t="s">
        <v>421</v>
      </c>
      <c r="B259">
        <v>9.5</v>
      </c>
      <c r="C259">
        <v>12.92</v>
      </c>
      <c r="D259">
        <v>0.67</v>
      </c>
      <c r="E259">
        <v>0</v>
      </c>
      <c r="F259" s="33">
        <v>5.57E-2</v>
      </c>
      <c r="G259">
        <v>0</v>
      </c>
      <c r="H259">
        <v>0</v>
      </c>
      <c r="I259">
        <v>0</v>
      </c>
      <c r="J259">
        <v>0</v>
      </c>
      <c r="K259">
        <v>0</v>
      </c>
      <c r="L259">
        <v>0</v>
      </c>
      <c r="M259" s="33">
        <v>0</v>
      </c>
      <c r="N259" s="33">
        <v>0</v>
      </c>
      <c r="O259">
        <v>0</v>
      </c>
      <c r="P259" s="33">
        <v>0</v>
      </c>
      <c r="Q259" s="33">
        <v>5.1900000000000002E-2</v>
      </c>
      <c r="R259" s="34">
        <v>608.78</v>
      </c>
      <c r="S259" s="34">
        <v>581333000</v>
      </c>
      <c r="T259">
        <v>0</v>
      </c>
      <c r="U259" s="33">
        <v>0.11169999999999999</v>
      </c>
    </row>
    <row r="260" spans="1:21" x14ac:dyDescent="0.25">
      <c r="A260" t="s">
        <v>262</v>
      </c>
      <c r="B260">
        <v>5.12</v>
      </c>
      <c r="C260">
        <v>-1.18</v>
      </c>
      <c r="D260">
        <v>3.18</v>
      </c>
      <c r="E260">
        <v>3.1E-2</v>
      </c>
      <c r="F260" s="33">
        <v>0</v>
      </c>
      <c r="G260">
        <v>3.7999999999999999E-2</v>
      </c>
      <c r="H260">
        <v>0.22</v>
      </c>
      <c r="I260">
        <v>0.4</v>
      </c>
      <c r="J260">
        <v>-7.0000000000000007E-2</v>
      </c>
      <c r="K260">
        <v>7.97</v>
      </c>
      <c r="L260">
        <v>6.18</v>
      </c>
      <c r="M260" s="33">
        <v>7.6999999999999999E-2</v>
      </c>
      <c r="N260" s="33">
        <v>-2.5899999999999999E-2</v>
      </c>
      <c r="O260">
        <v>1.56</v>
      </c>
      <c r="P260" s="33">
        <v>0.1167</v>
      </c>
      <c r="Q260" s="33">
        <v>-2.6882999999999999</v>
      </c>
      <c r="R260" s="34">
        <v>21467.599999999999</v>
      </c>
      <c r="S260" s="34">
        <v>9319000</v>
      </c>
      <c r="T260">
        <v>66.91</v>
      </c>
      <c r="U260" s="33">
        <v>9.9000000000000005E-2</v>
      </c>
    </row>
    <row r="261" spans="1:21" x14ac:dyDescent="0.25">
      <c r="A261" t="s">
        <v>422</v>
      </c>
      <c r="B261">
        <v>10.06</v>
      </c>
      <c r="C261">
        <v>17.149999999999999</v>
      </c>
      <c r="D261">
        <v>0.65</v>
      </c>
      <c r="E261">
        <v>0.19500000000000001</v>
      </c>
      <c r="F261" s="33">
        <v>3.04E-2</v>
      </c>
      <c r="G261">
        <v>0.20899999999999999</v>
      </c>
      <c r="H261">
        <v>2.4500000000000002</v>
      </c>
      <c r="I261">
        <v>4.12</v>
      </c>
      <c r="J261">
        <v>-1.21</v>
      </c>
      <c r="K261">
        <v>5.7</v>
      </c>
      <c r="L261">
        <v>3.28</v>
      </c>
      <c r="M261" s="33">
        <v>4.7300000000000002E-2</v>
      </c>
      <c r="N261" s="33">
        <v>1.14E-2</v>
      </c>
      <c r="O261">
        <v>1.2</v>
      </c>
      <c r="P261" s="33">
        <v>7.2499999999999995E-2</v>
      </c>
      <c r="Q261" s="33">
        <v>3.8199999999999998E-2</v>
      </c>
      <c r="R261" s="34">
        <v>302095000</v>
      </c>
      <c r="S261" s="34">
        <v>11357900000</v>
      </c>
      <c r="T261">
        <v>0.4</v>
      </c>
      <c r="U261" s="33">
        <v>3.7999999999999999E-2</v>
      </c>
    </row>
    <row r="262" spans="1:21" x14ac:dyDescent="0.25">
      <c r="A262" t="s">
        <v>159</v>
      </c>
      <c r="B262">
        <v>10.68</v>
      </c>
      <c r="C262">
        <v>8.77</v>
      </c>
      <c r="D262">
        <v>1.68</v>
      </c>
      <c r="E262">
        <v>1.53</v>
      </c>
      <c r="F262" s="33">
        <v>5.7599999999999998E-2</v>
      </c>
      <c r="G262">
        <v>0.64200000000000002</v>
      </c>
      <c r="H262">
        <v>3.35</v>
      </c>
      <c r="I262">
        <v>4.4800000000000004</v>
      </c>
      <c r="J262">
        <v>-2.46</v>
      </c>
      <c r="K262">
        <v>6.6</v>
      </c>
      <c r="L262">
        <v>4.62</v>
      </c>
      <c r="M262" s="33">
        <v>0.34150000000000003</v>
      </c>
      <c r="N262" s="33">
        <v>0.17460000000000001</v>
      </c>
      <c r="O262">
        <v>2.17</v>
      </c>
      <c r="P262" s="33">
        <v>0.18529999999999999</v>
      </c>
      <c r="Q262" s="33">
        <v>0.19170000000000001</v>
      </c>
      <c r="R262" s="34">
        <v>8122440</v>
      </c>
      <c r="S262" s="34">
        <v>1487240000</v>
      </c>
      <c r="T262">
        <v>1.28</v>
      </c>
      <c r="U262" s="33">
        <v>0.32</v>
      </c>
    </row>
    <row r="263" spans="1:21" x14ac:dyDescent="0.25">
      <c r="A263" t="s">
        <v>181</v>
      </c>
      <c r="B263">
        <v>1.0900000000000001</v>
      </c>
      <c r="C263">
        <v>-4.7699999999999996</v>
      </c>
      <c r="D263">
        <v>0.3</v>
      </c>
      <c r="E263">
        <v>0.26100000000000001</v>
      </c>
      <c r="F263" s="33">
        <v>0</v>
      </c>
      <c r="G263">
        <v>0.16900000000000001</v>
      </c>
      <c r="H263">
        <v>0.48</v>
      </c>
      <c r="I263">
        <v>-6.2</v>
      </c>
      <c r="J263">
        <v>0.73</v>
      </c>
      <c r="K263">
        <v>-7.7</v>
      </c>
      <c r="L263">
        <v>-13.17</v>
      </c>
      <c r="M263" s="33">
        <v>-4.2200000000000001E-2</v>
      </c>
      <c r="N263" s="33">
        <v>-5.4800000000000001E-2</v>
      </c>
      <c r="O263">
        <v>2.11</v>
      </c>
      <c r="P263" s="33">
        <v>-3.78E-2</v>
      </c>
      <c r="Q263" s="33">
        <v>-6.3500000000000001E-2</v>
      </c>
      <c r="R263" s="34">
        <v>2414840</v>
      </c>
      <c r="S263" s="34">
        <v>2953430000</v>
      </c>
      <c r="T263">
        <v>0.23</v>
      </c>
      <c r="U263" s="33">
        <v>-9.1899999999999996E-2</v>
      </c>
    </row>
    <row r="264" spans="1:21" x14ac:dyDescent="0.25">
      <c r="A264" t="s">
        <v>423</v>
      </c>
      <c r="B264">
        <v>18.8</v>
      </c>
      <c r="C264">
        <v>71.739999999999995</v>
      </c>
      <c r="D264">
        <v>1.1599999999999999</v>
      </c>
      <c r="E264">
        <v>0.188</v>
      </c>
      <c r="F264" s="33">
        <v>0</v>
      </c>
      <c r="G264">
        <v>0.13100000000000001</v>
      </c>
      <c r="H264">
        <v>-1.35</v>
      </c>
      <c r="I264">
        <v>1.85</v>
      </c>
      <c r="J264">
        <v>-0.28000000000000003</v>
      </c>
      <c r="K264">
        <v>6.6</v>
      </c>
      <c r="L264">
        <v>5.71</v>
      </c>
      <c r="M264" s="33">
        <v>0.10150000000000001</v>
      </c>
      <c r="N264" s="33">
        <v>2.5999999999999999E-3</v>
      </c>
      <c r="O264">
        <v>0.81</v>
      </c>
      <c r="P264" s="33">
        <v>7.6300000000000007E-2</v>
      </c>
      <c r="Q264" s="33">
        <v>1.6199999999999999E-2</v>
      </c>
      <c r="R264" s="34">
        <v>21082.9</v>
      </c>
      <c r="S264" s="34">
        <v>160158000</v>
      </c>
      <c r="T264">
        <v>3</v>
      </c>
      <c r="U264" s="33">
        <v>0.1429</v>
      </c>
    </row>
    <row r="265" spans="1:21" x14ac:dyDescent="0.25">
      <c r="A265" t="s">
        <v>424</v>
      </c>
      <c r="B265">
        <v>24.69</v>
      </c>
      <c r="C265">
        <v>12.08</v>
      </c>
      <c r="D265">
        <v>-0.57999999999999996</v>
      </c>
      <c r="E265">
        <v>0.48299999999999998</v>
      </c>
      <c r="F265" s="33">
        <v>0</v>
      </c>
      <c r="G265">
        <v>0.46100000000000002</v>
      </c>
      <c r="H265">
        <v>-0.47</v>
      </c>
      <c r="I265">
        <v>2.68</v>
      </c>
      <c r="J265">
        <v>-0.38</v>
      </c>
      <c r="K265">
        <v>2.68</v>
      </c>
      <c r="L265">
        <v>2.36</v>
      </c>
      <c r="M265" s="33">
        <v>0.1804</v>
      </c>
      <c r="N265" s="33">
        <v>4.0099999999999997E-2</v>
      </c>
      <c r="O265">
        <v>0.37</v>
      </c>
      <c r="P265" s="33">
        <v>0.1817</v>
      </c>
      <c r="Q265" s="33">
        <v>-4.8300000000000003E-2</v>
      </c>
      <c r="R265" s="34">
        <v>90635</v>
      </c>
      <c r="S265" s="34">
        <v>-300501000</v>
      </c>
      <c r="T265">
        <v>0</v>
      </c>
      <c r="U265" s="33">
        <v>7.1999999999999995E-2</v>
      </c>
    </row>
    <row r="266" spans="1:21" x14ac:dyDescent="0.25">
      <c r="A266" t="s">
        <v>425</v>
      </c>
      <c r="B266">
        <v>166.5</v>
      </c>
      <c r="C266">
        <v>-25.14</v>
      </c>
      <c r="D266">
        <v>2.06</v>
      </c>
      <c r="E266">
        <v>0</v>
      </c>
      <c r="F266" s="33">
        <v>0.30149999999999999</v>
      </c>
      <c r="G266">
        <v>0.96299999999999997</v>
      </c>
      <c r="H266">
        <v>1.91</v>
      </c>
      <c r="I266">
        <v>-79.88</v>
      </c>
      <c r="J266">
        <v>13.44</v>
      </c>
      <c r="K266">
        <v>-58.6</v>
      </c>
      <c r="L266">
        <v>-60.17</v>
      </c>
      <c r="M266" s="33">
        <v>0</v>
      </c>
      <c r="N266" s="33">
        <v>0</v>
      </c>
      <c r="O266">
        <v>6.12</v>
      </c>
      <c r="P266" s="33">
        <v>-2.8299999999999999E-2</v>
      </c>
      <c r="Q266" s="33">
        <v>-8.1900000000000001E-2</v>
      </c>
      <c r="R266" s="34">
        <v>123951</v>
      </c>
      <c r="S266" s="34">
        <v>990925000</v>
      </c>
      <c r="T266">
        <v>0.68</v>
      </c>
      <c r="U266" s="33">
        <v>-0.99450000000000005</v>
      </c>
    </row>
    <row r="267" spans="1:21" x14ac:dyDescent="0.25">
      <c r="A267" t="s">
        <v>426</v>
      </c>
      <c r="B267">
        <v>13.5</v>
      </c>
      <c r="C267">
        <v>18.77</v>
      </c>
      <c r="D267">
        <v>1.92</v>
      </c>
      <c r="E267">
        <v>1.258</v>
      </c>
      <c r="F267" s="33">
        <v>2.3E-2</v>
      </c>
      <c r="G267">
        <v>0.435</v>
      </c>
      <c r="H267">
        <v>5.91</v>
      </c>
      <c r="I267">
        <v>4.8499999999999996</v>
      </c>
      <c r="J267">
        <v>-0.72</v>
      </c>
      <c r="K267">
        <v>10.37</v>
      </c>
      <c r="L267">
        <v>8.0299999999999994</v>
      </c>
      <c r="M267" s="33">
        <v>0.25929999999999997</v>
      </c>
      <c r="N267" s="33">
        <v>7.0199999999999999E-2</v>
      </c>
      <c r="O267">
        <v>1.81</v>
      </c>
      <c r="P267" s="33">
        <v>0.1021</v>
      </c>
      <c r="Q267" s="33">
        <v>0.1023</v>
      </c>
      <c r="R267" s="34">
        <v>133876000</v>
      </c>
      <c r="S267" s="34">
        <v>14199100000</v>
      </c>
      <c r="T267">
        <v>2.65</v>
      </c>
      <c r="U267" s="33">
        <v>0.16200000000000001</v>
      </c>
    </row>
    <row r="268" spans="1:21" x14ac:dyDescent="0.25">
      <c r="A268" t="s">
        <v>236</v>
      </c>
      <c r="B268">
        <v>6.7</v>
      </c>
      <c r="C268">
        <v>8.92</v>
      </c>
      <c r="D268">
        <v>0.89</v>
      </c>
      <c r="E268">
        <v>0.16600000000000001</v>
      </c>
      <c r="F268" s="33">
        <v>2.76E-2</v>
      </c>
      <c r="G268">
        <v>0.08</v>
      </c>
      <c r="H268">
        <v>-2.08</v>
      </c>
      <c r="I268">
        <v>0.77</v>
      </c>
      <c r="J268">
        <v>-0.12</v>
      </c>
      <c r="K268">
        <v>6.39</v>
      </c>
      <c r="L268">
        <v>3.69</v>
      </c>
      <c r="M268" s="33">
        <v>0.21510000000000001</v>
      </c>
      <c r="N268" s="33">
        <v>1.8599999999999998E-2</v>
      </c>
      <c r="O268">
        <v>0.87</v>
      </c>
      <c r="P268" s="33">
        <v>0.1331</v>
      </c>
      <c r="Q268" s="33">
        <v>0.1002</v>
      </c>
      <c r="R268" s="34">
        <v>40553200</v>
      </c>
      <c r="S268" s="34">
        <v>2607680000</v>
      </c>
      <c r="T268">
        <v>7.66</v>
      </c>
      <c r="U268" s="33">
        <v>0.3589</v>
      </c>
    </row>
    <row r="269" spans="1:21" x14ac:dyDescent="0.25">
      <c r="A269" t="s">
        <v>111</v>
      </c>
      <c r="B269">
        <v>24.79</v>
      </c>
      <c r="C269">
        <v>7.54</v>
      </c>
      <c r="D269">
        <v>7.55</v>
      </c>
      <c r="E269">
        <v>0.13600000000000001</v>
      </c>
      <c r="F269" s="33">
        <v>0.1207</v>
      </c>
      <c r="G269">
        <v>0.157</v>
      </c>
      <c r="H269">
        <v>2.36</v>
      </c>
      <c r="I269">
        <v>3.23</v>
      </c>
      <c r="J269">
        <v>-0.33</v>
      </c>
      <c r="K269">
        <v>9.8000000000000007</v>
      </c>
      <c r="L269">
        <v>4.6500000000000004</v>
      </c>
      <c r="M269" s="33">
        <v>4.2099999999999999E-2</v>
      </c>
      <c r="N269" s="33">
        <v>2.64E-2</v>
      </c>
      <c r="O269">
        <v>1.22</v>
      </c>
      <c r="P269" s="33">
        <v>6.9900000000000004E-2</v>
      </c>
      <c r="Q269" s="33">
        <v>1.0015000000000001</v>
      </c>
      <c r="R269" s="34">
        <v>166018000</v>
      </c>
      <c r="S269" s="34">
        <v>2816470000</v>
      </c>
      <c r="T269">
        <v>22.57</v>
      </c>
      <c r="U269" s="33">
        <v>0.21590000000000001</v>
      </c>
    </row>
    <row r="270" spans="1:21" x14ac:dyDescent="0.25">
      <c r="A270" t="s">
        <v>427</v>
      </c>
      <c r="B270">
        <v>28.95</v>
      </c>
      <c r="C270">
        <v>7.08</v>
      </c>
      <c r="D270">
        <v>1.26</v>
      </c>
      <c r="E270">
        <v>1.3859999999999999</v>
      </c>
      <c r="F270" s="33">
        <v>0</v>
      </c>
      <c r="G270">
        <v>0.47799999999999998</v>
      </c>
      <c r="H270">
        <v>5.04</v>
      </c>
      <c r="I270">
        <v>4.0999999999999996</v>
      </c>
      <c r="J270">
        <v>-1.24</v>
      </c>
      <c r="K270">
        <v>6.03</v>
      </c>
      <c r="L270">
        <v>4.1900000000000004</v>
      </c>
      <c r="M270" s="33">
        <v>0.33810000000000001</v>
      </c>
      <c r="N270" s="33">
        <v>0.19589999999999999</v>
      </c>
      <c r="O270">
        <v>1.67</v>
      </c>
      <c r="P270" s="33">
        <v>0.1474</v>
      </c>
      <c r="Q270" s="33">
        <v>0.1784</v>
      </c>
      <c r="R270" s="34">
        <v>2399.46</v>
      </c>
      <c r="S270" s="34">
        <v>7748660000</v>
      </c>
      <c r="T270">
        <v>1.07</v>
      </c>
      <c r="U270" s="33">
        <v>0.1729</v>
      </c>
    </row>
    <row r="271" spans="1:21" x14ac:dyDescent="0.25">
      <c r="A271" t="s">
        <v>427</v>
      </c>
      <c r="B271">
        <v>28.95</v>
      </c>
      <c r="C271">
        <v>7.08</v>
      </c>
      <c r="D271">
        <v>1.26</v>
      </c>
      <c r="E271">
        <v>1.3859999999999999</v>
      </c>
      <c r="F271" s="33">
        <v>0</v>
      </c>
      <c r="G271">
        <v>0.47799999999999998</v>
      </c>
      <c r="H271">
        <v>5.04</v>
      </c>
      <c r="I271">
        <v>4.0999999999999996</v>
      </c>
      <c r="J271">
        <v>-1.24</v>
      </c>
      <c r="K271">
        <v>6.03</v>
      </c>
      <c r="L271">
        <v>4.1900000000000004</v>
      </c>
      <c r="M271" s="33">
        <v>0.33810000000000001</v>
      </c>
      <c r="N271" s="33">
        <v>0.19589999999999999</v>
      </c>
      <c r="O271">
        <v>1.67</v>
      </c>
      <c r="P271" s="33">
        <v>0.1474</v>
      </c>
      <c r="Q271" s="33">
        <v>0.1784</v>
      </c>
      <c r="R271" s="34">
        <v>2399.46</v>
      </c>
      <c r="S271" s="34">
        <v>7748660000</v>
      </c>
      <c r="T271">
        <v>1.07</v>
      </c>
      <c r="U271" s="33">
        <v>0.1729</v>
      </c>
    </row>
    <row r="272" spans="1:21" x14ac:dyDescent="0.25">
      <c r="A272" t="s">
        <v>428</v>
      </c>
      <c r="B272">
        <v>25.95</v>
      </c>
      <c r="C272">
        <v>6.34</v>
      </c>
      <c r="D272">
        <v>1.1299999999999999</v>
      </c>
      <c r="E272">
        <v>1.2430000000000001</v>
      </c>
      <c r="F272" s="33">
        <v>4.0399999999999998E-2</v>
      </c>
      <c r="G272">
        <v>0.42899999999999999</v>
      </c>
      <c r="H272">
        <v>4.5199999999999996</v>
      </c>
      <c r="I272">
        <v>3.68</v>
      </c>
      <c r="J272">
        <v>-1.1100000000000001</v>
      </c>
      <c r="K272">
        <v>5.6</v>
      </c>
      <c r="L272">
        <v>3.9</v>
      </c>
      <c r="M272" s="33">
        <v>0.33810000000000001</v>
      </c>
      <c r="N272" s="33">
        <v>0.19589999999999999</v>
      </c>
      <c r="O272">
        <v>1.67</v>
      </c>
      <c r="P272" s="33">
        <v>0.1474</v>
      </c>
      <c r="Q272" s="33">
        <v>0.1784</v>
      </c>
      <c r="R272" s="34">
        <v>326.70999999999998</v>
      </c>
      <c r="S272" s="34">
        <v>7748660000</v>
      </c>
      <c r="T272">
        <v>1.07</v>
      </c>
      <c r="U272" s="33">
        <v>0.1729</v>
      </c>
    </row>
    <row r="273" spans="1:21" x14ac:dyDescent="0.25">
      <c r="A273" t="s">
        <v>428</v>
      </c>
      <c r="B273">
        <v>25.95</v>
      </c>
      <c r="C273">
        <v>6.34</v>
      </c>
      <c r="D273">
        <v>1.1299999999999999</v>
      </c>
      <c r="E273">
        <v>1.2430000000000001</v>
      </c>
      <c r="F273" s="33">
        <v>4.0399999999999998E-2</v>
      </c>
      <c r="G273">
        <v>0.42899999999999999</v>
      </c>
      <c r="H273">
        <v>4.5199999999999996</v>
      </c>
      <c r="I273">
        <v>3.68</v>
      </c>
      <c r="J273">
        <v>-1.1100000000000001</v>
      </c>
      <c r="K273">
        <v>5.6</v>
      </c>
      <c r="L273">
        <v>3.9</v>
      </c>
      <c r="M273" s="33">
        <v>0.33810000000000001</v>
      </c>
      <c r="N273" s="33">
        <v>0.19589999999999999</v>
      </c>
      <c r="O273">
        <v>1.67</v>
      </c>
      <c r="P273" s="33">
        <v>0.1474</v>
      </c>
      <c r="Q273" s="33">
        <v>0.1784</v>
      </c>
      <c r="R273" s="34">
        <v>326.70999999999998</v>
      </c>
      <c r="S273" s="34">
        <v>7748660000</v>
      </c>
      <c r="T273">
        <v>1.07</v>
      </c>
      <c r="U273" s="33">
        <v>0.1729</v>
      </c>
    </row>
    <row r="274" spans="1:21" x14ac:dyDescent="0.25">
      <c r="A274" t="s">
        <v>429</v>
      </c>
      <c r="B274">
        <v>25.95</v>
      </c>
      <c r="C274">
        <v>6.34</v>
      </c>
      <c r="D274">
        <v>1.1299999999999999</v>
      </c>
      <c r="E274">
        <v>1.2430000000000001</v>
      </c>
      <c r="F274" s="33">
        <v>4.0399999999999998E-2</v>
      </c>
      <c r="G274">
        <v>0.42899999999999999</v>
      </c>
      <c r="H274">
        <v>4.5199999999999996</v>
      </c>
      <c r="I274">
        <v>3.68</v>
      </c>
      <c r="J274">
        <v>-1.1100000000000001</v>
      </c>
      <c r="K274">
        <v>5.6</v>
      </c>
      <c r="L274">
        <v>3.9</v>
      </c>
      <c r="M274" s="33">
        <v>0.33810000000000001</v>
      </c>
      <c r="N274" s="33">
        <v>0.19589999999999999</v>
      </c>
      <c r="O274">
        <v>1.67</v>
      </c>
      <c r="P274" s="33">
        <v>0.1474</v>
      </c>
      <c r="Q274" s="33">
        <v>0.1784</v>
      </c>
      <c r="R274" s="34">
        <v>195</v>
      </c>
      <c r="S274" s="34">
        <v>7748660000</v>
      </c>
      <c r="T274">
        <v>1.07</v>
      </c>
      <c r="U274" s="33">
        <v>0.1729</v>
      </c>
    </row>
    <row r="275" spans="1:21" x14ac:dyDescent="0.25">
      <c r="A275" t="s">
        <v>429</v>
      </c>
      <c r="B275">
        <v>25.95</v>
      </c>
      <c r="C275">
        <v>6.34</v>
      </c>
      <c r="D275">
        <v>1.1299999999999999</v>
      </c>
      <c r="E275">
        <v>1.2430000000000001</v>
      </c>
      <c r="F275" s="33">
        <v>4.0399999999999998E-2</v>
      </c>
      <c r="G275">
        <v>0.42899999999999999</v>
      </c>
      <c r="H275">
        <v>4.5199999999999996</v>
      </c>
      <c r="I275">
        <v>3.68</v>
      </c>
      <c r="J275">
        <v>-1.1100000000000001</v>
      </c>
      <c r="K275">
        <v>5.6</v>
      </c>
      <c r="L275">
        <v>3.9</v>
      </c>
      <c r="M275" s="33">
        <v>0.33810000000000001</v>
      </c>
      <c r="N275" s="33">
        <v>0.19589999999999999</v>
      </c>
      <c r="O275">
        <v>1.67</v>
      </c>
      <c r="P275" s="33">
        <v>0.1474</v>
      </c>
      <c r="Q275" s="33">
        <v>0.1784</v>
      </c>
      <c r="R275" s="34">
        <v>195</v>
      </c>
      <c r="S275" s="34">
        <v>7748660000</v>
      </c>
      <c r="T275">
        <v>1.07</v>
      </c>
      <c r="U275" s="33">
        <v>0.1729</v>
      </c>
    </row>
    <row r="276" spans="1:21" x14ac:dyDescent="0.25">
      <c r="A276" t="s">
        <v>235</v>
      </c>
      <c r="B276">
        <v>5.9</v>
      </c>
      <c r="C276">
        <v>-4.79</v>
      </c>
      <c r="D276">
        <v>0.55000000000000004</v>
      </c>
      <c r="E276">
        <v>0.35399999999999998</v>
      </c>
      <c r="F276" s="33">
        <v>0</v>
      </c>
      <c r="G276">
        <v>0.115</v>
      </c>
      <c r="H276">
        <v>0.81</v>
      </c>
      <c r="I276">
        <v>3.29</v>
      </c>
      <c r="J276">
        <v>-0.37</v>
      </c>
      <c r="K276">
        <v>12.04</v>
      </c>
      <c r="L276">
        <v>10.06</v>
      </c>
      <c r="M276" s="33">
        <v>0.1075</v>
      </c>
      <c r="N276" s="33">
        <v>-7.2099999999999997E-2</v>
      </c>
      <c r="O276">
        <v>1.47</v>
      </c>
      <c r="P276" s="33">
        <v>3.6799999999999999E-2</v>
      </c>
      <c r="Q276" s="33">
        <v>-0.11550000000000001</v>
      </c>
      <c r="R276" s="34">
        <v>71226200</v>
      </c>
      <c r="S276" s="34">
        <v>5996120000</v>
      </c>
      <c r="T276">
        <v>1.56</v>
      </c>
      <c r="U276" s="33">
        <v>7.5300000000000006E-2</v>
      </c>
    </row>
    <row r="277" spans="1:21" x14ac:dyDescent="0.25">
      <c r="A277" t="s">
        <v>164</v>
      </c>
      <c r="B277">
        <v>3.95</v>
      </c>
      <c r="C277">
        <v>7.04</v>
      </c>
      <c r="D277">
        <v>0.42</v>
      </c>
      <c r="E277">
        <v>0.35599999999999998</v>
      </c>
      <c r="F277" s="33">
        <v>0.1144</v>
      </c>
      <c r="G277">
        <v>0.188</v>
      </c>
      <c r="H277">
        <v>0.39</v>
      </c>
      <c r="I277">
        <v>4.3600000000000003</v>
      </c>
      <c r="J277">
        <v>0.66</v>
      </c>
      <c r="K277">
        <v>9.34</v>
      </c>
      <c r="L277">
        <v>7.28</v>
      </c>
      <c r="M277" s="33">
        <v>8.1600000000000006E-2</v>
      </c>
      <c r="N277" s="33">
        <v>7.0999999999999994E-2</v>
      </c>
      <c r="O277">
        <v>2.4500000000000002</v>
      </c>
      <c r="P277" s="33">
        <v>4.7300000000000002E-2</v>
      </c>
      <c r="Q277" s="33">
        <v>5.9499999999999997E-2</v>
      </c>
      <c r="R277" s="34">
        <v>2836910</v>
      </c>
      <c r="S277" s="34">
        <v>997155000</v>
      </c>
      <c r="T277">
        <v>0.63</v>
      </c>
      <c r="U277" s="33">
        <v>0.2676</v>
      </c>
    </row>
    <row r="278" spans="1:21" x14ac:dyDescent="0.25">
      <c r="A278" t="s">
        <v>26</v>
      </c>
      <c r="B278">
        <v>40.200000000000003</v>
      </c>
      <c r="C278">
        <v>9.6199999999999992</v>
      </c>
      <c r="D278">
        <v>0.76</v>
      </c>
      <c r="E278">
        <v>0.67900000000000005</v>
      </c>
      <c r="F278" s="33">
        <v>5.1999999999999998E-2</v>
      </c>
      <c r="G278">
        <v>0.63700000000000001</v>
      </c>
      <c r="H278">
        <v>1.03</v>
      </c>
      <c r="I278">
        <v>9.25</v>
      </c>
      <c r="J278">
        <v>1.06</v>
      </c>
      <c r="K278">
        <v>5.28</v>
      </c>
      <c r="L278">
        <v>3.9</v>
      </c>
      <c r="M278" s="33">
        <v>7.3400000000000007E-2</v>
      </c>
      <c r="N278" s="33">
        <v>7.0599999999999996E-2</v>
      </c>
      <c r="O278">
        <v>5.36</v>
      </c>
      <c r="P278" s="33">
        <v>0.1055</v>
      </c>
      <c r="Q278" s="33">
        <v>7.9100000000000004E-2</v>
      </c>
      <c r="R278" s="34">
        <v>112386</v>
      </c>
      <c r="S278" s="34">
        <v>464622000</v>
      </c>
      <c r="T278">
        <v>0.03</v>
      </c>
      <c r="U278" s="33">
        <v>2.6100000000000002E-2</v>
      </c>
    </row>
    <row r="279" spans="1:21" x14ac:dyDescent="0.25">
      <c r="A279" t="s">
        <v>158</v>
      </c>
      <c r="B279">
        <v>26.25</v>
      </c>
      <c r="C279">
        <v>10.3</v>
      </c>
      <c r="D279">
        <v>2.34</v>
      </c>
      <c r="E279">
        <v>5.2889999999999997</v>
      </c>
      <c r="F279" s="33">
        <v>4.3799999999999999E-2</v>
      </c>
      <c r="G279">
        <v>1.0669999999999999</v>
      </c>
      <c r="H279">
        <v>21.07</v>
      </c>
      <c r="I279">
        <v>7.35</v>
      </c>
      <c r="J279">
        <v>-2.87</v>
      </c>
      <c r="K279">
        <v>9.66</v>
      </c>
      <c r="L279">
        <v>8.9600000000000009</v>
      </c>
      <c r="M279" s="33">
        <v>0.7198</v>
      </c>
      <c r="N279" s="33">
        <v>0.51359999999999995</v>
      </c>
      <c r="O279">
        <v>1.41</v>
      </c>
      <c r="P279" s="33">
        <v>0.1653</v>
      </c>
      <c r="Q279" s="33">
        <v>0.2276</v>
      </c>
      <c r="R279" s="34">
        <v>110582000</v>
      </c>
      <c r="S279" s="34">
        <v>5746470000</v>
      </c>
      <c r="T279">
        <v>0.95</v>
      </c>
      <c r="U279" s="33">
        <v>0.2457</v>
      </c>
    </row>
    <row r="280" spans="1:21" x14ac:dyDescent="0.25">
      <c r="A280" t="s">
        <v>430</v>
      </c>
      <c r="B280">
        <v>12.99</v>
      </c>
      <c r="C280">
        <v>1.03</v>
      </c>
      <c r="D280">
        <v>1.35</v>
      </c>
      <c r="E280">
        <v>9.9000000000000005E-2</v>
      </c>
      <c r="F280" s="33">
        <v>0</v>
      </c>
      <c r="G280">
        <v>8.6999999999999994E-2</v>
      </c>
      <c r="H280">
        <v>-0.89</v>
      </c>
      <c r="I280">
        <v>-0.78</v>
      </c>
      <c r="J280">
        <v>-0.16</v>
      </c>
      <c r="K280">
        <v>-3.1</v>
      </c>
      <c r="L280">
        <v>-3.72</v>
      </c>
      <c r="M280" s="33">
        <v>-0.12770000000000001</v>
      </c>
      <c r="N280" s="33">
        <v>9.69E-2</v>
      </c>
      <c r="O280">
        <v>0.79</v>
      </c>
      <c r="P280" s="33">
        <v>-0.128</v>
      </c>
      <c r="Q280" s="33">
        <v>1.3137000000000001</v>
      </c>
      <c r="R280" s="34">
        <v>8590.56</v>
      </c>
      <c r="S280" s="34">
        <v>19835000</v>
      </c>
      <c r="T280">
        <v>4.4400000000000004</v>
      </c>
      <c r="U280" s="33">
        <v>0.113</v>
      </c>
    </row>
    <row r="281" spans="1:21" x14ac:dyDescent="0.25">
      <c r="A281" t="s">
        <v>150</v>
      </c>
      <c r="B281">
        <v>12.51</v>
      </c>
      <c r="C281">
        <v>8.5299999999999994</v>
      </c>
      <c r="D281">
        <v>0.45</v>
      </c>
      <c r="E281">
        <v>0.123</v>
      </c>
      <c r="F281" s="33">
        <v>5.6899999999999999E-2</v>
      </c>
      <c r="G281">
        <v>0.125</v>
      </c>
      <c r="H281">
        <v>0.71</v>
      </c>
      <c r="I281">
        <v>1.86</v>
      </c>
      <c r="J281">
        <v>-0.56999999999999995</v>
      </c>
      <c r="K281">
        <v>5.62</v>
      </c>
      <c r="L281">
        <v>3.73</v>
      </c>
      <c r="M281" s="33">
        <v>6.6000000000000003E-2</v>
      </c>
      <c r="N281" s="33">
        <v>2.1299999999999999E-2</v>
      </c>
      <c r="O281">
        <v>1.61</v>
      </c>
      <c r="P281" s="33">
        <v>9.4700000000000006E-2</v>
      </c>
      <c r="Q281" s="33">
        <v>5.2299999999999999E-2</v>
      </c>
      <c r="R281" s="34">
        <v>12313300</v>
      </c>
      <c r="S281" s="34">
        <v>4306800000</v>
      </c>
      <c r="T281">
        <v>1.35</v>
      </c>
      <c r="U281" s="33">
        <v>9.9299999999999999E-2</v>
      </c>
    </row>
    <row r="282" spans="1:21" x14ac:dyDescent="0.25">
      <c r="A282" t="s">
        <v>82</v>
      </c>
      <c r="B282">
        <v>24.49</v>
      </c>
      <c r="C282">
        <v>8.4700000000000006</v>
      </c>
      <c r="D282">
        <v>0.88</v>
      </c>
      <c r="E282">
        <v>0.59899999999999998</v>
      </c>
      <c r="F282" s="33">
        <v>3.1699999999999999E-2</v>
      </c>
      <c r="G282">
        <v>0.27100000000000002</v>
      </c>
      <c r="H282">
        <v>11.3</v>
      </c>
      <c r="I282">
        <v>2.76</v>
      </c>
      <c r="J282">
        <v>-0.56999999999999995</v>
      </c>
      <c r="K282">
        <v>6.93</v>
      </c>
      <c r="L282">
        <v>5.45</v>
      </c>
      <c r="M282" s="33">
        <v>0.21709999999999999</v>
      </c>
      <c r="N282" s="33">
        <v>7.1300000000000002E-2</v>
      </c>
      <c r="O282">
        <v>1.1299999999999999</v>
      </c>
      <c r="P282" s="33">
        <v>0.108</v>
      </c>
      <c r="Q282" s="33">
        <v>0.1038</v>
      </c>
      <c r="R282" s="34">
        <v>26849500</v>
      </c>
      <c r="S282" s="34">
        <v>33807000000</v>
      </c>
      <c r="T282">
        <v>1.51</v>
      </c>
      <c r="U282" s="33">
        <v>7.6600000000000001E-2</v>
      </c>
    </row>
    <row r="283" spans="1:21" x14ac:dyDescent="0.25">
      <c r="A283" t="s">
        <v>431</v>
      </c>
      <c r="B283">
        <v>3.8</v>
      </c>
      <c r="C283">
        <v>0.1</v>
      </c>
      <c r="D283">
        <v>-0.2</v>
      </c>
      <c r="E283">
        <v>0.114</v>
      </c>
      <c r="F283" s="33">
        <v>0</v>
      </c>
      <c r="G283">
        <v>0.27900000000000003</v>
      </c>
      <c r="H283">
        <v>-0.55000000000000004</v>
      </c>
      <c r="I283">
        <v>-0.75</v>
      </c>
      <c r="J283">
        <v>-0.15</v>
      </c>
      <c r="K283">
        <v>-0.13</v>
      </c>
      <c r="L283">
        <v>-13.9</v>
      </c>
      <c r="M283" s="33">
        <v>-0.15079999999999999</v>
      </c>
      <c r="N283" s="33">
        <v>1.1241000000000001</v>
      </c>
      <c r="O283">
        <v>0.53</v>
      </c>
      <c r="P283" s="33">
        <v>-0.52859999999999996</v>
      </c>
      <c r="Q283" s="33">
        <v>-1.9732000000000001</v>
      </c>
      <c r="R283" s="34">
        <v>2791.44</v>
      </c>
      <c r="S283" s="34">
        <v>-50521000</v>
      </c>
      <c r="T283">
        <v>-0.03</v>
      </c>
      <c r="U283" s="33">
        <v>-4.6100000000000002E-2</v>
      </c>
    </row>
    <row r="284" spans="1:21" x14ac:dyDescent="0.25">
      <c r="A284" t="s">
        <v>197</v>
      </c>
      <c r="B284">
        <v>26.71</v>
      </c>
      <c r="C284">
        <v>-7.84</v>
      </c>
      <c r="D284">
        <v>0.55000000000000004</v>
      </c>
      <c r="E284">
        <v>0.88600000000000001</v>
      </c>
      <c r="F284" s="33">
        <v>0</v>
      </c>
      <c r="G284">
        <v>0.40899999999999997</v>
      </c>
      <c r="H284">
        <v>1.85</v>
      </c>
      <c r="I284">
        <v>-8.66</v>
      </c>
      <c r="J284">
        <v>3.61</v>
      </c>
      <c r="K284">
        <v>-4.4000000000000004</v>
      </c>
      <c r="L284">
        <v>4.32</v>
      </c>
      <c r="M284" s="33">
        <v>-0.1023</v>
      </c>
      <c r="N284" s="33">
        <v>-0.11310000000000001</v>
      </c>
      <c r="O284">
        <v>2.54</v>
      </c>
      <c r="P284" s="33">
        <v>-6.5699999999999995E-2</v>
      </c>
      <c r="Q284" s="33">
        <v>-6.9599999999999995E-2</v>
      </c>
      <c r="R284" s="34">
        <v>549210</v>
      </c>
      <c r="S284" s="34">
        <v>447975000</v>
      </c>
      <c r="T284">
        <v>0.04</v>
      </c>
      <c r="U284" s="33">
        <v>5.1499999999999997E-2</v>
      </c>
    </row>
    <row r="285" spans="1:21" x14ac:dyDescent="0.25">
      <c r="A285" t="s">
        <v>432</v>
      </c>
      <c r="B285">
        <v>7.23</v>
      </c>
      <c r="C285">
        <v>1.1599999999999999</v>
      </c>
      <c r="D285">
        <v>-0.39</v>
      </c>
      <c r="E285">
        <v>18.663</v>
      </c>
      <c r="F285" s="33">
        <v>0</v>
      </c>
      <c r="G285">
        <v>2.4729999999999999</v>
      </c>
      <c r="H285">
        <v>-0.38</v>
      </c>
      <c r="I285">
        <v>-57.26</v>
      </c>
      <c r="J285">
        <v>-0.34</v>
      </c>
      <c r="K285">
        <v>-102.64</v>
      </c>
      <c r="L285">
        <v>-102.64</v>
      </c>
      <c r="M285" s="33">
        <v>-0.32590000000000002</v>
      </c>
      <c r="N285" s="33">
        <v>16.138000000000002</v>
      </c>
      <c r="O285">
        <v>0.01</v>
      </c>
      <c r="P285" s="33">
        <v>-4.3499999999999997E-2</v>
      </c>
      <c r="Q285" s="33">
        <v>-0.33439999999999998</v>
      </c>
      <c r="R285" s="34">
        <v>2152.4899999999998</v>
      </c>
      <c r="S285" s="34">
        <v>-123781000</v>
      </c>
      <c r="T285">
        <v>-0.31</v>
      </c>
      <c r="U285" s="33">
        <v>0.12959999999999999</v>
      </c>
    </row>
    <row r="286" spans="1:21" x14ac:dyDescent="0.25">
      <c r="A286" t="s">
        <v>121</v>
      </c>
      <c r="B286">
        <v>10.5</v>
      </c>
      <c r="C286">
        <v>-1.79</v>
      </c>
      <c r="D286">
        <v>0.97</v>
      </c>
      <c r="E286">
        <v>0.59199999999999997</v>
      </c>
      <c r="F286" s="33">
        <v>0</v>
      </c>
      <c r="G286">
        <v>0.41499999999999998</v>
      </c>
      <c r="H286">
        <v>2.93</v>
      </c>
      <c r="I286">
        <v>5.76</v>
      </c>
      <c r="J286">
        <v>-2.5499999999999998</v>
      </c>
      <c r="K286">
        <v>6.91</v>
      </c>
      <c r="L286">
        <v>5.01</v>
      </c>
      <c r="M286" s="33">
        <v>0.10290000000000001</v>
      </c>
      <c r="N286" s="33">
        <v>-0.33029999999999998</v>
      </c>
      <c r="O286">
        <v>1.53</v>
      </c>
      <c r="P286" s="33">
        <v>9.9699999999999997E-2</v>
      </c>
      <c r="Q286" s="33">
        <v>-0.53959999999999997</v>
      </c>
      <c r="R286" s="34">
        <v>114473000</v>
      </c>
      <c r="S286" s="34">
        <v>15095900000</v>
      </c>
      <c r="T286">
        <v>0.44</v>
      </c>
      <c r="U286" s="33">
        <v>-0.12470000000000001</v>
      </c>
    </row>
    <row r="287" spans="1:21" x14ac:dyDescent="0.25">
      <c r="A287" t="s">
        <v>433</v>
      </c>
      <c r="B287">
        <v>3.42</v>
      </c>
      <c r="C287">
        <v>8.06</v>
      </c>
      <c r="D287">
        <v>1.06</v>
      </c>
      <c r="E287">
        <v>0.23200000000000001</v>
      </c>
      <c r="F287" s="33">
        <v>0</v>
      </c>
      <c r="G287">
        <v>0.40799999999999997</v>
      </c>
      <c r="H287">
        <v>1.28</v>
      </c>
      <c r="I287">
        <v>5.65</v>
      </c>
      <c r="J287">
        <v>4.32</v>
      </c>
      <c r="K287">
        <v>6.99</v>
      </c>
      <c r="L287">
        <v>6.33</v>
      </c>
      <c r="M287" s="33">
        <v>4.1000000000000002E-2</v>
      </c>
      <c r="N287" s="33">
        <v>2.8799999999999999E-2</v>
      </c>
      <c r="O287">
        <v>1.81</v>
      </c>
      <c r="P287" s="33">
        <v>9.1600000000000001E-2</v>
      </c>
      <c r="Q287" s="33">
        <v>0.13170000000000001</v>
      </c>
      <c r="R287" s="34">
        <v>22169</v>
      </c>
      <c r="S287" s="34">
        <v>42690000</v>
      </c>
      <c r="T287">
        <v>0.31</v>
      </c>
      <c r="U287" s="33">
        <v>0.22720000000000001</v>
      </c>
    </row>
    <row r="288" spans="1:21" x14ac:dyDescent="0.25">
      <c r="A288" t="s">
        <v>169</v>
      </c>
      <c r="B288">
        <v>11.03</v>
      </c>
      <c r="C288">
        <v>10.71</v>
      </c>
      <c r="D288">
        <v>4.41</v>
      </c>
      <c r="E288">
        <v>2.601</v>
      </c>
      <c r="F288" s="33">
        <v>8.3000000000000004E-2</v>
      </c>
      <c r="G288">
        <v>2.6930000000000001</v>
      </c>
      <c r="H288">
        <v>-53.85</v>
      </c>
      <c r="I288">
        <v>8.33</v>
      </c>
      <c r="J288">
        <v>-23.87</v>
      </c>
      <c r="K288">
        <v>7.64</v>
      </c>
      <c r="L288">
        <v>7.13</v>
      </c>
      <c r="M288" s="33">
        <v>0.31230000000000002</v>
      </c>
      <c r="N288" s="33">
        <v>0.24279999999999999</v>
      </c>
      <c r="O288">
        <v>0.85</v>
      </c>
      <c r="P288" s="33">
        <v>0.42630000000000001</v>
      </c>
      <c r="Q288" s="33">
        <v>0.41210000000000002</v>
      </c>
      <c r="R288" s="34">
        <v>26220500</v>
      </c>
      <c r="S288" s="34">
        <v>1364460000</v>
      </c>
      <c r="T288">
        <v>0</v>
      </c>
      <c r="U288" s="33">
        <v>7.2499999999999995E-2</v>
      </c>
    </row>
    <row r="289" spans="1:21" x14ac:dyDescent="0.25">
      <c r="A289" t="s">
        <v>434</v>
      </c>
      <c r="B289">
        <v>24.49</v>
      </c>
      <c r="C289">
        <v>10.7</v>
      </c>
      <c r="D289">
        <v>2.08</v>
      </c>
      <c r="E289">
        <v>1.2749999999999999</v>
      </c>
      <c r="F289" s="33">
        <v>0.1208</v>
      </c>
      <c r="G289">
        <v>1.042</v>
      </c>
      <c r="H289">
        <v>2.8</v>
      </c>
      <c r="I289">
        <v>7.68</v>
      </c>
      <c r="J289">
        <v>9.27</v>
      </c>
      <c r="K289">
        <v>8.84</v>
      </c>
      <c r="L289">
        <v>7.25</v>
      </c>
      <c r="M289" s="33">
        <v>0.1661</v>
      </c>
      <c r="N289" s="33">
        <v>0.1192</v>
      </c>
      <c r="O289">
        <v>2.56</v>
      </c>
      <c r="P289" s="33">
        <v>0.17610000000000001</v>
      </c>
      <c r="Q289" s="33">
        <v>0.19439999999999999</v>
      </c>
      <c r="R289" s="34">
        <v>93531.6</v>
      </c>
      <c r="S289" s="34">
        <v>635559000</v>
      </c>
      <c r="T289">
        <v>0.55000000000000004</v>
      </c>
      <c r="U289" s="33">
        <v>5.8299999999999998E-2</v>
      </c>
    </row>
    <row r="290" spans="1:21" x14ac:dyDescent="0.25">
      <c r="A290" t="s">
        <v>245</v>
      </c>
      <c r="B290">
        <v>0.69</v>
      </c>
      <c r="C290">
        <v>0.02</v>
      </c>
      <c r="D290">
        <v>-0.02</v>
      </c>
      <c r="E290">
        <v>0.13700000000000001</v>
      </c>
      <c r="F290" s="33">
        <v>0</v>
      </c>
      <c r="G290">
        <v>1.2E-2</v>
      </c>
      <c r="H290">
        <v>-0.1</v>
      </c>
      <c r="I290">
        <v>-0.08</v>
      </c>
      <c r="J290">
        <v>-0.01</v>
      </c>
      <c r="K290">
        <v>-3.59</v>
      </c>
      <c r="L290">
        <v>-4.87</v>
      </c>
      <c r="M290" s="33">
        <v>-1.6903999999999999</v>
      </c>
      <c r="N290" s="33">
        <v>8.4742999999999995</v>
      </c>
      <c r="O290">
        <v>0.7</v>
      </c>
      <c r="P290" s="33">
        <v>-0.18210000000000001</v>
      </c>
      <c r="Q290" s="33">
        <v>-0.9587</v>
      </c>
      <c r="R290" s="34">
        <v>5338780</v>
      </c>
      <c r="S290" s="34">
        <v>-14660000000</v>
      </c>
      <c r="T290">
        <v>-0.77</v>
      </c>
      <c r="U290" s="33">
        <v>-0.25540000000000002</v>
      </c>
    </row>
    <row r="291" spans="1:21" x14ac:dyDescent="0.25">
      <c r="A291" t="s">
        <v>219</v>
      </c>
      <c r="B291">
        <v>9.48</v>
      </c>
      <c r="C291">
        <v>0.22</v>
      </c>
      <c r="D291">
        <v>-0.21</v>
      </c>
      <c r="E291">
        <v>1.887</v>
      </c>
      <c r="F291" s="33">
        <v>0</v>
      </c>
      <c r="G291">
        <v>0.159</v>
      </c>
      <c r="H291">
        <v>-1.36</v>
      </c>
      <c r="I291">
        <v>-1.1200000000000001</v>
      </c>
      <c r="J291">
        <v>-0.11</v>
      </c>
      <c r="K291">
        <v>-4.63</v>
      </c>
      <c r="L291">
        <v>-6.28</v>
      </c>
      <c r="M291" s="33">
        <v>-1.6903999999999999</v>
      </c>
      <c r="N291" s="33">
        <v>8.4742999999999995</v>
      </c>
      <c r="O291">
        <v>0.7</v>
      </c>
      <c r="P291" s="33">
        <v>-0.18210000000000001</v>
      </c>
      <c r="Q291" s="33">
        <v>-0.9587</v>
      </c>
      <c r="R291" s="34">
        <v>470549</v>
      </c>
      <c r="S291" s="34">
        <v>-14660000000</v>
      </c>
      <c r="T291">
        <v>-0.77</v>
      </c>
      <c r="U291" s="33">
        <v>-0.25540000000000002</v>
      </c>
    </row>
    <row r="292" spans="1:21" x14ac:dyDescent="0.25">
      <c r="A292" t="s">
        <v>208</v>
      </c>
      <c r="B292">
        <v>4.6900000000000004</v>
      </c>
      <c r="C292">
        <v>-3.81</v>
      </c>
      <c r="D292">
        <v>1.02</v>
      </c>
      <c r="E292">
        <v>0.48799999999999999</v>
      </c>
      <c r="F292" s="33">
        <v>0</v>
      </c>
      <c r="G292">
        <v>0.28199999999999997</v>
      </c>
      <c r="H292">
        <v>1.63</v>
      </c>
      <c r="I292">
        <v>5.54</v>
      </c>
      <c r="J292">
        <v>-0.9</v>
      </c>
      <c r="K292">
        <v>12.46</v>
      </c>
      <c r="L292">
        <v>7.77</v>
      </c>
      <c r="M292" s="33">
        <v>8.8099999999999998E-2</v>
      </c>
      <c r="N292" s="33">
        <v>-0.13880000000000001</v>
      </c>
      <c r="O292">
        <v>1.81</v>
      </c>
      <c r="P292" s="33">
        <v>6.7299999999999999E-2</v>
      </c>
      <c r="Q292" s="33">
        <v>-0.26779999999999998</v>
      </c>
      <c r="R292" s="34">
        <v>8866720</v>
      </c>
      <c r="S292" s="34">
        <v>2995770000</v>
      </c>
      <c r="T292">
        <v>1.82</v>
      </c>
      <c r="U292" s="33">
        <v>0.28739999999999999</v>
      </c>
    </row>
    <row r="293" spans="1:21" x14ac:dyDescent="0.25">
      <c r="A293" t="s">
        <v>123</v>
      </c>
      <c r="B293">
        <v>6.16</v>
      </c>
      <c r="C293">
        <v>-53.37</v>
      </c>
      <c r="D293">
        <v>1.3</v>
      </c>
      <c r="E293">
        <v>0.72899999999999998</v>
      </c>
      <c r="F293" s="33">
        <v>0</v>
      </c>
      <c r="G293">
        <v>0.42199999999999999</v>
      </c>
      <c r="H293">
        <v>3.21</v>
      </c>
      <c r="I293">
        <v>5.36</v>
      </c>
      <c r="J293">
        <v>-1.21</v>
      </c>
      <c r="K293">
        <v>10.61</v>
      </c>
      <c r="L293">
        <v>4.8600000000000003</v>
      </c>
      <c r="M293" s="33">
        <v>0.13600000000000001</v>
      </c>
      <c r="N293" s="33">
        <v>-1.37E-2</v>
      </c>
      <c r="O293">
        <v>1.67</v>
      </c>
      <c r="P293" s="33">
        <v>9.5699999999999993E-2</v>
      </c>
      <c r="Q293" s="33">
        <v>-2.4400000000000002E-2</v>
      </c>
      <c r="R293" s="34">
        <v>2085370</v>
      </c>
      <c r="S293" s="34">
        <v>944915000</v>
      </c>
      <c r="T293">
        <v>1.72</v>
      </c>
      <c r="U293" s="33">
        <v>0.28570000000000001</v>
      </c>
    </row>
    <row r="294" spans="1:21" x14ac:dyDescent="0.25">
      <c r="A294" t="s">
        <v>72</v>
      </c>
      <c r="B294">
        <v>53.15</v>
      </c>
      <c r="C294">
        <v>151.86000000000001</v>
      </c>
      <c r="D294">
        <v>5.71</v>
      </c>
      <c r="E294">
        <v>4.7149999999999999</v>
      </c>
      <c r="F294" s="33">
        <v>0</v>
      </c>
      <c r="G294">
        <v>1.302</v>
      </c>
      <c r="H294">
        <v>10.38</v>
      </c>
      <c r="I294">
        <v>17.760000000000002</v>
      </c>
      <c r="J294">
        <v>-2.7</v>
      </c>
      <c r="K294">
        <v>23.89</v>
      </c>
      <c r="L294">
        <v>14.16</v>
      </c>
      <c r="M294" s="33">
        <v>0.26540000000000002</v>
      </c>
      <c r="N294" s="33">
        <v>4.36E-2</v>
      </c>
      <c r="O294">
        <v>1.93</v>
      </c>
      <c r="P294" s="33">
        <v>8.6599999999999996E-2</v>
      </c>
      <c r="Q294" s="33">
        <v>3.7600000000000001E-2</v>
      </c>
      <c r="R294" s="34">
        <v>28991900</v>
      </c>
      <c r="S294" s="34">
        <v>771834000</v>
      </c>
      <c r="T294">
        <v>2.5</v>
      </c>
      <c r="U294" s="33">
        <v>0.26319999999999999</v>
      </c>
    </row>
    <row r="295" spans="1:21" x14ac:dyDescent="0.25">
      <c r="A295" t="s">
        <v>435</v>
      </c>
      <c r="B295">
        <v>2.8</v>
      </c>
      <c r="C295">
        <v>-0.01</v>
      </c>
      <c r="D295">
        <v>0</v>
      </c>
      <c r="E295">
        <v>0.127</v>
      </c>
      <c r="F295" s="33">
        <v>0</v>
      </c>
      <c r="G295">
        <v>6.0000000000000001E-3</v>
      </c>
      <c r="H295">
        <v>-0.01</v>
      </c>
      <c r="I295">
        <v>-0.11</v>
      </c>
      <c r="J295">
        <v>0</v>
      </c>
      <c r="K295">
        <v>-89.73</v>
      </c>
      <c r="L295">
        <v>-108.44</v>
      </c>
      <c r="M295" s="33">
        <v>-1.1141000000000001</v>
      </c>
      <c r="N295" s="33">
        <v>-23.5822</v>
      </c>
      <c r="O295">
        <v>0.01</v>
      </c>
      <c r="P295" s="33">
        <v>-5.57E-2</v>
      </c>
      <c r="Q295" s="33">
        <v>0.18410000000000001</v>
      </c>
      <c r="R295" s="34">
        <v>8555.85</v>
      </c>
      <c r="S295" s="34">
        <v>-8625440000</v>
      </c>
      <c r="T295">
        <v>-0.8</v>
      </c>
      <c r="U295" s="33">
        <v>0.48499999999999999</v>
      </c>
    </row>
    <row r="296" spans="1:21" x14ac:dyDescent="0.25">
      <c r="A296" t="s">
        <v>436</v>
      </c>
      <c r="B296">
        <v>36</v>
      </c>
      <c r="C296">
        <v>9.91</v>
      </c>
      <c r="D296">
        <v>1.1000000000000001</v>
      </c>
      <c r="E296">
        <v>0.39500000000000002</v>
      </c>
      <c r="F296" s="33">
        <v>0.19950000000000001</v>
      </c>
      <c r="G296">
        <v>0.53400000000000003</v>
      </c>
      <c r="H296">
        <v>1.33</v>
      </c>
      <c r="I296">
        <v>7.03</v>
      </c>
      <c r="J296">
        <v>2.38</v>
      </c>
      <c r="K296">
        <v>7.43</v>
      </c>
      <c r="L296">
        <v>6.6</v>
      </c>
      <c r="M296" s="33">
        <v>5.62E-2</v>
      </c>
      <c r="N296" s="33">
        <v>3.9899999999999998E-2</v>
      </c>
      <c r="O296">
        <v>2.2000000000000002</v>
      </c>
      <c r="P296" s="33">
        <v>0.13750000000000001</v>
      </c>
      <c r="Q296" s="33">
        <v>0.1105</v>
      </c>
      <c r="R296" s="34">
        <v>21539.9</v>
      </c>
      <c r="S296" s="34">
        <v>786260000</v>
      </c>
      <c r="T296">
        <v>0.59</v>
      </c>
      <c r="U296" s="33">
        <v>4.5999999999999999E-3</v>
      </c>
    </row>
    <row r="297" spans="1:21" x14ac:dyDescent="0.25">
      <c r="A297" t="s">
        <v>437</v>
      </c>
      <c r="B297">
        <v>34</v>
      </c>
      <c r="C297">
        <v>9.36</v>
      </c>
      <c r="D297">
        <v>1.03</v>
      </c>
      <c r="E297">
        <v>0.373</v>
      </c>
      <c r="F297" s="33">
        <v>0.2432</v>
      </c>
      <c r="G297">
        <v>0.504</v>
      </c>
      <c r="H297">
        <v>1.26</v>
      </c>
      <c r="I297">
        <v>6.64</v>
      </c>
      <c r="J297">
        <v>2.2400000000000002</v>
      </c>
      <c r="K297">
        <v>7.04</v>
      </c>
      <c r="L297">
        <v>6.26</v>
      </c>
      <c r="M297" s="33">
        <v>5.62E-2</v>
      </c>
      <c r="N297" s="33">
        <v>3.9899999999999998E-2</v>
      </c>
      <c r="O297">
        <v>2.2000000000000002</v>
      </c>
      <c r="P297" s="33">
        <v>0.13750000000000001</v>
      </c>
      <c r="Q297" s="33">
        <v>0.1105</v>
      </c>
      <c r="R297" s="34">
        <v>4095.07</v>
      </c>
      <c r="S297" s="34">
        <v>786260000</v>
      </c>
      <c r="T297">
        <v>0.59</v>
      </c>
      <c r="U297" s="33">
        <v>4.5999999999999999E-3</v>
      </c>
    </row>
    <row r="298" spans="1:21" x14ac:dyDescent="0.25">
      <c r="A298" t="s">
        <v>225</v>
      </c>
      <c r="B298">
        <v>3.04</v>
      </c>
      <c r="C298">
        <v>-0.78</v>
      </c>
      <c r="D298">
        <v>0.54</v>
      </c>
      <c r="E298">
        <v>7.9000000000000001E-2</v>
      </c>
      <c r="F298" s="33">
        <v>0</v>
      </c>
      <c r="G298">
        <v>7.6999999999999999E-2</v>
      </c>
      <c r="H298">
        <v>-11.21</v>
      </c>
      <c r="I298">
        <v>0.98</v>
      </c>
      <c r="J298">
        <v>-0.14000000000000001</v>
      </c>
      <c r="K298">
        <v>2.54</v>
      </c>
      <c r="L298">
        <v>1.44</v>
      </c>
      <c r="M298" s="33">
        <v>8.0299999999999996E-2</v>
      </c>
      <c r="N298" s="33">
        <v>-0.1008</v>
      </c>
      <c r="O298">
        <v>0.98</v>
      </c>
      <c r="P298" s="33">
        <v>0.10539999999999999</v>
      </c>
      <c r="Q298" s="33">
        <v>-0.69320000000000004</v>
      </c>
      <c r="R298" s="34">
        <v>58944100</v>
      </c>
      <c r="S298" s="34">
        <v>2764000000</v>
      </c>
      <c r="T298">
        <v>1.65</v>
      </c>
      <c r="U298" s="33">
        <v>-0.2298</v>
      </c>
    </row>
    <row r="299" spans="1:21" x14ac:dyDescent="0.25">
      <c r="A299" t="s">
        <v>193</v>
      </c>
      <c r="B299">
        <v>0.28999999999999998</v>
      </c>
      <c r="C299">
        <v>-0.02</v>
      </c>
      <c r="D299">
        <v>0</v>
      </c>
      <c r="E299">
        <v>6.3E-2</v>
      </c>
      <c r="F299" s="33">
        <v>0</v>
      </c>
      <c r="G299">
        <v>1.6E-2</v>
      </c>
      <c r="H299">
        <v>-0.01</v>
      </c>
      <c r="I299">
        <v>-0.12</v>
      </c>
      <c r="J299">
        <v>0</v>
      </c>
      <c r="K299">
        <v>-2.61</v>
      </c>
      <c r="L299">
        <v>-2.62</v>
      </c>
      <c r="M299" s="33">
        <v>-0.53349999999999997</v>
      </c>
      <c r="N299" s="33">
        <v>-3.3603000000000001</v>
      </c>
      <c r="O299">
        <v>0.32</v>
      </c>
      <c r="P299" s="33">
        <v>-0.32540000000000002</v>
      </c>
      <c r="Q299" s="33">
        <v>0.13800000000000001</v>
      </c>
      <c r="R299" s="34">
        <v>680242</v>
      </c>
      <c r="S299" s="34">
        <v>-3363560000</v>
      </c>
      <c r="T299">
        <v>-0.06</v>
      </c>
      <c r="U299" s="33">
        <v>-0.22470000000000001</v>
      </c>
    </row>
    <row r="300" spans="1:21" x14ac:dyDescent="0.25">
      <c r="A300" t="s">
        <v>438</v>
      </c>
      <c r="B300">
        <v>1.23</v>
      </c>
      <c r="C300">
        <v>-7.32</v>
      </c>
      <c r="D300">
        <v>0.79</v>
      </c>
      <c r="E300">
        <v>0.313</v>
      </c>
      <c r="F300" s="33">
        <v>0</v>
      </c>
      <c r="G300">
        <v>0.14199999999999999</v>
      </c>
      <c r="H300">
        <v>0.36</v>
      </c>
      <c r="I300">
        <v>10.58</v>
      </c>
      <c r="J300">
        <v>-0.97</v>
      </c>
      <c r="K300">
        <v>32</v>
      </c>
      <c r="L300">
        <v>8.94</v>
      </c>
      <c r="M300" s="33">
        <v>2.9499999999999998E-2</v>
      </c>
      <c r="N300" s="33">
        <v>-4.2700000000000002E-2</v>
      </c>
      <c r="O300">
        <v>2.4</v>
      </c>
      <c r="P300" s="33">
        <v>1.83E-2</v>
      </c>
      <c r="Q300" s="33">
        <v>-0.10829999999999999</v>
      </c>
      <c r="R300" s="34">
        <v>69371.199999999997</v>
      </c>
      <c r="S300" s="34">
        <v>123253000</v>
      </c>
      <c r="T300">
        <v>2.72</v>
      </c>
      <c r="U300" s="33">
        <v>-8.3299999999999999E-2</v>
      </c>
    </row>
    <row r="301" spans="1:21" x14ac:dyDescent="0.25">
      <c r="A301" t="s">
        <v>439</v>
      </c>
      <c r="B301">
        <v>41</v>
      </c>
      <c r="C301">
        <v>21.61</v>
      </c>
      <c r="D301">
        <v>0.86</v>
      </c>
      <c r="E301">
        <v>7.9649999999999999</v>
      </c>
      <c r="F301" s="33">
        <v>2.0199999999999999E-2</v>
      </c>
      <c r="G301">
        <v>0.59899999999999998</v>
      </c>
      <c r="H301">
        <v>3.49</v>
      </c>
      <c r="I301">
        <v>-43.26</v>
      </c>
      <c r="J301">
        <v>-6.23</v>
      </c>
      <c r="K301">
        <v>-40.369999999999997</v>
      </c>
      <c r="L301">
        <v>-228.27</v>
      </c>
      <c r="M301" s="33">
        <v>-0.18410000000000001</v>
      </c>
      <c r="N301" s="33">
        <v>0.36859999999999998</v>
      </c>
      <c r="O301">
        <v>5.51</v>
      </c>
      <c r="P301" s="33">
        <v>-1.67E-2</v>
      </c>
      <c r="Q301" s="33">
        <v>3.9899999999999998E-2</v>
      </c>
      <c r="R301" s="34">
        <v>6619.98</v>
      </c>
      <c r="S301" s="34">
        <v>898730000</v>
      </c>
      <c r="T301">
        <v>0.18</v>
      </c>
      <c r="U301" s="33">
        <v>5.8700000000000002E-2</v>
      </c>
    </row>
    <row r="302" spans="1:21" x14ac:dyDescent="0.25">
      <c r="A302" t="s">
        <v>440</v>
      </c>
      <c r="B302">
        <v>44</v>
      </c>
      <c r="C302">
        <v>23.19</v>
      </c>
      <c r="D302">
        <v>0.93</v>
      </c>
      <c r="E302">
        <v>8.548</v>
      </c>
      <c r="F302" s="33">
        <v>1.9699999999999999E-2</v>
      </c>
      <c r="G302">
        <v>0.64300000000000002</v>
      </c>
      <c r="H302">
        <v>3.75</v>
      </c>
      <c r="I302">
        <v>-46.43</v>
      </c>
      <c r="J302">
        <v>-6.69</v>
      </c>
      <c r="K302">
        <v>-43.53</v>
      </c>
      <c r="L302">
        <v>-246.17</v>
      </c>
      <c r="M302" s="33">
        <v>-0.18410000000000001</v>
      </c>
      <c r="N302" s="33">
        <v>0.36859999999999998</v>
      </c>
      <c r="O302">
        <v>5.51</v>
      </c>
      <c r="P302" s="33">
        <v>-1.67E-2</v>
      </c>
      <c r="Q302" s="33">
        <v>3.9899999999999998E-2</v>
      </c>
      <c r="R302" s="34">
        <v>1356.34</v>
      </c>
      <c r="S302" s="34">
        <v>898730000</v>
      </c>
      <c r="T302">
        <v>0.18</v>
      </c>
      <c r="U302" s="33">
        <v>5.8700000000000002E-2</v>
      </c>
    </row>
    <row r="303" spans="1:21" x14ac:dyDescent="0.25">
      <c r="A303" t="s">
        <v>94</v>
      </c>
      <c r="B303">
        <v>31.2</v>
      </c>
      <c r="C303">
        <v>8.36</v>
      </c>
      <c r="D303">
        <v>1.02</v>
      </c>
      <c r="E303">
        <v>0.81</v>
      </c>
      <c r="F303" s="33">
        <v>0.21329999999999999</v>
      </c>
      <c r="G303">
        <v>0.35</v>
      </c>
      <c r="H303">
        <v>-8.2100000000000009</v>
      </c>
      <c r="I303">
        <v>1.91</v>
      </c>
      <c r="J303">
        <v>-0.64</v>
      </c>
      <c r="K303">
        <v>3.46</v>
      </c>
      <c r="L303">
        <v>2.6</v>
      </c>
      <c r="M303" s="33">
        <v>0.42370000000000002</v>
      </c>
      <c r="N303" s="33">
        <v>9.7799999999999998E-2</v>
      </c>
      <c r="O303">
        <v>0.72</v>
      </c>
      <c r="P303" s="33">
        <v>0.1961</v>
      </c>
      <c r="Q303" s="33">
        <v>0.1216</v>
      </c>
      <c r="R303" s="34">
        <v>402274000</v>
      </c>
      <c r="S303" s="34">
        <v>395841000000</v>
      </c>
      <c r="T303">
        <v>0.94</v>
      </c>
      <c r="U303" s="33">
        <v>0.11509999999999999</v>
      </c>
    </row>
    <row r="304" spans="1:21" x14ac:dyDescent="0.25">
      <c r="A304" t="s">
        <v>15</v>
      </c>
      <c r="B304">
        <v>29.36</v>
      </c>
      <c r="C304">
        <v>7.86</v>
      </c>
      <c r="D304">
        <v>0.96</v>
      </c>
      <c r="E304">
        <v>0.76300000000000001</v>
      </c>
      <c r="F304" s="33">
        <v>0.2266</v>
      </c>
      <c r="G304">
        <v>0.33</v>
      </c>
      <c r="H304">
        <v>-7.73</v>
      </c>
      <c r="I304">
        <v>1.8</v>
      </c>
      <c r="J304">
        <v>-0.61</v>
      </c>
      <c r="K304">
        <v>3.35</v>
      </c>
      <c r="L304">
        <v>2.52</v>
      </c>
      <c r="M304" s="33">
        <v>0.42370000000000002</v>
      </c>
      <c r="N304" s="33">
        <v>9.7799999999999998E-2</v>
      </c>
      <c r="O304">
        <v>0.72</v>
      </c>
      <c r="P304" s="33">
        <v>0.1961</v>
      </c>
      <c r="Q304" s="33">
        <v>0.1216</v>
      </c>
      <c r="R304" s="34">
        <v>1456400000</v>
      </c>
      <c r="S304" s="34">
        <v>395841000000</v>
      </c>
      <c r="T304">
        <v>0.94</v>
      </c>
      <c r="U304" s="33">
        <v>0.11509999999999999</v>
      </c>
    </row>
    <row r="305" spans="1:21" x14ac:dyDescent="0.25">
      <c r="A305" t="s">
        <v>204</v>
      </c>
      <c r="B305">
        <v>4.22</v>
      </c>
      <c r="C305">
        <v>-47.96</v>
      </c>
      <c r="D305">
        <v>1.18</v>
      </c>
      <c r="E305">
        <v>0.57699999999999996</v>
      </c>
      <c r="F305" s="33">
        <v>6.83E-2</v>
      </c>
      <c r="G305">
        <v>0.50600000000000001</v>
      </c>
      <c r="H305">
        <v>3.51</v>
      </c>
      <c r="I305">
        <v>11.2</v>
      </c>
      <c r="J305">
        <v>-2.34</v>
      </c>
      <c r="K305">
        <v>11.74</v>
      </c>
      <c r="L305">
        <v>3.92</v>
      </c>
      <c r="M305" s="33">
        <v>5.1499999999999997E-2</v>
      </c>
      <c r="N305" s="33">
        <v>-1.2E-2</v>
      </c>
      <c r="O305">
        <v>1.68</v>
      </c>
      <c r="P305" s="33">
        <v>5.5800000000000002E-2</v>
      </c>
      <c r="Q305" s="33">
        <v>-2.4500000000000001E-2</v>
      </c>
      <c r="R305" s="34">
        <v>31708400</v>
      </c>
      <c r="S305" s="34">
        <v>1658800000</v>
      </c>
      <c r="T305">
        <v>0.27</v>
      </c>
      <c r="U305" s="33">
        <v>0.20250000000000001</v>
      </c>
    </row>
    <row r="306" spans="1:21" x14ac:dyDescent="0.25">
      <c r="A306" t="s">
        <v>80</v>
      </c>
      <c r="B306">
        <v>8.5399999999999991</v>
      </c>
      <c r="C306">
        <v>8.49</v>
      </c>
      <c r="D306">
        <v>0.8</v>
      </c>
      <c r="E306">
        <v>0.1</v>
      </c>
      <c r="F306" s="33">
        <v>6.7299999999999999E-2</v>
      </c>
      <c r="G306">
        <v>0.183</v>
      </c>
      <c r="H306">
        <v>1.1499999999999999</v>
      </c>
      <c r="I306">
        <v>3.44</v>
      </c>
      <c r="J306">
        <v>-66.02</v>
      </c>
      <c r="K306">
        <v>5.65</v>
      </c>
      <c r="L306">
        <v>3.58</v>
      </c>
      <c r="M306" s="33">
        <v>2.9000000000000001E-2</v>
      </c>
      <c r="N306" s="33">
        <v>1.2500000000000001E-2</v>
      </c>
      <c r="O306">
        <v>1.28</v>
      </c>
      <c r="P306" s="33">
        <v>9.6100000000000005E-2</v>
      </c>
      <c r="Q306" s="33">
        <v>9.4700000000000006E-2</v>
      </c>
      <c r="R306" s="34">
        <v>1930990</v>
      </c>
      <c r="S306" s="34">
        <v>1315040000</v>
      </c>
      <c r="T306">
        <v>0.72</v>
      </c>
      <c r="U306" s="33">
        <v>0.17050000000000001</v>
      </c>
    </row>
    <row r="307" spans="1:21" x14ac:dyDescent="0.25">
      <c r="A307" t="s">
        <v>153</v>
      </c>
      <c r="B307">
        <v>3.45</v>
      </c>
      <c r="C307">
        <v>14.82</v>
      </c>
      <c r="D307">
        <v>0.79</v>
      </c>
      <c r="E307">
        <v>0.16400000000000001</v>
      </c>
      <c r="F307" s="33">
        <v>6.7000000000000004E-2</v>
      </c>
      <c r="G307">
        <v>0.248</v>
      </c>
      <c r="H307">
        <v>1.68</v>
      </c>
      <c r="I307">
        <v>3.47</v>
      </c>
      <c r="J307">
        <v>-1.4</v>
      </c>
      <c r="K307">
        <v>5.56</v>
      </c>
      <c r="L307">
        <v>3.03</v>
      </c>
      <c r="M307" s="33">
        <v>4.7199999999999999E-2</v>
      </c>
      <c r="N307" s="33">
        <v>1.11E-2</v>
      </c>
      <c r="O307">
        <v>1.41</v>
      </c>
      <c r="P307" s="33">
        <v>9.5000000000000001E-2</v>
      </c>
      <c r="Q307" s="33">
        <v>5.3199999999999997E-2</v>
      </c>
      <c r="R307" s="34">
        <v>3163270</v>
      </c>
      <c r="S307" s="34">
        <v>2722920000</v>
      </c>
      <c r="T307">
        <v>0.52</v>
      </c>
      <c r="U307" s="33">
        <v>0.1807</v>
      </c>
    </row>
    <row r="308" spans="1:21" x14ac:dyDescent="0.25">
      <c r="A308" t="s">
        <v>441</v>
      </c>
      <c r="B308">
        <v>5.04</v>
      </c>
      <c r="C308">
        <v>4.25</v>
      </c>
      <c r="D308">
        <v>1.02</v>
      </c>
      <c r="E308">
        <v>0</v>
      </c>
      <c r="F308" s="33">
        <v>0</v>
      </c>
      <c r="G308">
        <v>0</v>
      </c>
      <c r="H308">
        <v>0</v>
      </c>
      <c r="I308">
        <v>0</v>
      </c>
      <c r="J308">
        <v>0</v>
      </c>
      <c r="K308">
        <v>0</v>
      </c>
      <c r="L308">
        <v>0</v>
      </c>
      <c r="M308" s="33">
        <v>0</v>
      </c>
      <c r="N308" s="33">
        <v>0</v>
      </c>
      <c r="O308">
        <v>0</v>
      </c>
      <c r="P308" s="33">
        <v>0</v>
      </c>
      <c r="Q308" s="33">
        <v>0.2392</v>
      </c>
      <c r="R308" s="34">
        <v>59145.599999999999</v>
      </c>
      <c r="S308" s="34">
        <v>1123630000</v>
      </c>
      <c r="T308">
        <v>0</v>
      </c>
      <c r="U308" s="33">
        <v>0.49669999999999997</v>
      </c>
    </row>
    <row r="309" spans="1:21" x14ac:dyDescent="0.25">
      <c r="A309" t="s">
        <v>39</v>
      </c>
      <c r="B309">
        <v>5.21</v>
      </c>
      <c r="C309">
        <v>4.3899999999999997</v>
      </c>
      <c r="D309">
        <v>1.05</v>
      </c>
      <c r="E309">
        <v>0</v>
      </c>
      <c r="F309" s="33">
        <v>9.4899999999999998E-2</v>
      </c>
      <c r="G309">
        <v>0</v>
      </c>
      <c r="H309" s="34">
        <v>0</v>
      </c>
      <c r="I309">
        <v>0</v>
      </c>
      <c r="J309">
        <v>0</v>
      </c>
      <c r="K309">
        <v>0</v>
      </c>
      <c r="L309">
        <v>0</v>
      </c>
      <c r="M309" s="33">
        <v>0</v>
      </c>
      <c r="N309" s="33">
        <v>0</v>
      </c>
      <c r="O309">
        <v>0</v>
      </c>
      <c r="P309" s="33">
        <v>0</v>
      </c>
      <c r="Q309" s="33">
        <v>0.2392</v>
      </c>
      <c r="R309" s="34">
        <v>1597670</v>
      </c>
      <c r="S309" s="34">
        <v>1123630000</v>
      </c>
      <c r="T309">
        <v>0</v>
      </c>
      <c r="U309" s="33">
        <v>0.49669999999999997</v>
      </c>
    </row>
    <row r="310" spans="1:21" x14ac:dyDescent="0.25">
      <c r="A310" t="s">
        <v>442</v>
      </c>
      <c r="B310">
        <v>5.76</v>
      </c>
      <c r="C310">
        <v>-0.52</v>
      </c>
      <c r="D310">
        <v>-0.12</v>
      </c>
      <c r="E310">
        <v>6.2E-2</v>
      </c>
      <c r="F310" s="33">
        <v>0</v>
      </c>
      <c r="G310">
        <v>0.113</v>
      </c>
      <c r="H310">
        <v>-0.22</v>
      </c>
      <c r="I310">
        <v>-6.74</v>
      </c>
      <c r="J310">
        <v>-7.0000000000000007E-2</v>
      </c>
      <c r="K310">
        <v>-34.08</v>
      </c>
      <c r="L310">
        <v>7.56</v>
      </c>
      <c r="M310" s="33">
        <v>-9.2999999999999992E-3</v>
      </c>
      <c r="N310" s="33">
        <v>-0.1202</v>
      </c>
      <c r="O310">
        <v>0.39</v>
      </c>
      <c r="P310" s="33">
        <v>-2.01E-2</v>
      </c>
      <c r="Q310" s="33">
        <v>0.2389</v>
      </c>
      <c r="R310" s="34">
        <v>1438.63</v>
      </c>
      <c r="S310" s="34">
        <v>-577159000</v>
      </c>
      <c r="T310">
        <v>-0.54</v>
      </c>
      <c r="U310" s="33">
        <v>0.27039999999999997</v>
      </c>
    </row>
    <row r="311" spans="1:21" x14ac:dyDescent="0.25">
      <c r="A311" t="s">
        <v>443</v>
      </c>
      <c r="B311">
        <v>16.82</v>
      </c>
      <c r="C311">
        <v>9.2899999999999991</v>
      </c>
      <c r="D311">
        <v>4.28</v>
      </c>
      <c r="E311">
        <v>1.272</v>
      </c>
      <c r="F311" s="33">
        <v>5.9799999999999999E-2</v>
      </c>
      <c r="G311">
        <v>1.371</v>
      </c>
      <c r="H311">
        <v>2.38</v>
      </c>
      <c r="I311">
        <v>4.7</v>
      </c>
      <c r="J311">
        <v>7.06</v>
      </c>
      <c r="K311">
        <v>4.88</v>
      </c>
      <c r="L311">
        <v>4.75</v>
      </c>
      <c r="M311" s="33">
        <v>0.27060000000000001</v>
      </c>
      <c r="N311" s="33">
        <v>0.15640000000000001</v>
      </c>
      <c r="O311">
        <v>3.12</v>
      </c>
      <c r="P311" s="33">
        <v>0.45750000000000002</v>
      </c>
      <c r="Q311" s="33">
        <v>0.4607</v>
      </c>
      <c r="R311" s="34">
        <v>13333700</v>
      </c>
      <c r="S311" s="34">
        <v>801581000</v>
      </c>
      <c r="T311">
        <v>0.75</v>
      </c>
      <c r="U311" s="33">
        <v>0.2828</v>
      </c>
    </row>
    <row r="312" spans="1:21" x14ac:dyDescent="0.25">
      <c r="A312" t="s">
        <v>260</v>
      </c>
      <c r="B312">
        <v>2.11</v>
      </c>
      <c r="C312">
        <v>-0.08</v>
      </c>
      <c r="D312">
        <v>-0.02</v>
      </c>
      <c r="E312">
        <v>0.308</v>
      </c>
      <c r="F312" s="33">
        <v>0</v>
      </c>
      <c r="G312">
        <v>0.1</v>
      </c>
      <c r="H312">
        <v>-0.03</v>
      </c>
      <c r="I312">
        <v>-0.65</v>
      </c>
      <c r="J312">
        <v>-0.02</v>
      </c>
      <c r="K312">
        <v>-21.72</v>
      </c>
      <c r="L312">
        <v>-33.06</v>
      </c>
      <c r="M312" s="33">
        <v>-0.4743</v>
      </c>
      <c r="N312" s="33">
        <v>-3.7662</v>
      </c>
      <c r="O312">
        <v>0.06</v>
      </c>
      <c r="P312" s="33">
        <v>-0.28239999999999998</v>
      </c>
      <c r="Q312" s="33">
        <v>0.30370000000000003</v>
      </c>
      <c r="R312" s="34">
        <v>2131890</v>
      </c>
      <c r="S312" s="34">
        <v>-6411200000</v>
      </c>
      <c r="T312">
        <v>-0.81</v>
      </c>
      <c r="U312" s="33">
        <v>-0.47</v>
      </c>
    </row>
    <row r="313" spans="1:21" x14ac:dyDescent="0.25">
      <c r="A313" t="s">
        <v>145</v>
      </c>
      <c r="B313">
        <v>8.4499999999999993</v>
      </c>
      <c r="C313">
        <v>13.04</v>
      </c>
      <c r="D313">
        <v>1.02</v>
      </c>
      <c r="E313">
        <v>0.255</v>
      </c>
      <c r="F313" s="33">
        <v>4.0800000000000003E-2</v>
      </c>
      <c r="G313">
        <v>0.4</v>
      </c>
      <c r="H313">
        <v>1.5</v>
      </c>
      <c r="I313">
        <v>7.72</v>
      </c>
      <c r="J313">
        <v>-9.02</v>
      </c>
      <c r="K313">
        <v>13.91</v>
      </c>
      <c r="L313">
        <v>6.02</v>
      </c>
      <c r="M313" s="33">
        <v>3.3099999999999997E-2</v>
      </c>
      <c r="N313" s="33">
        <v>1.9599999999999999E-2</v>
      </c>
      <c r="O313">
        <v>1.9</v>
      </c>
      <c r="P313" s="33">
        <v>6.5500000000000003E-2</v>
      </c>
      <c r="Q313" s="33">
        <v>7.8200000000000006E-2</v>
      </c>
      <c r="R313" s="34">
        <v>3061020</v>
      </c>
      <c r="S313" s="34">
        <v>1245830000</v>
      </c>
      <c r="T313">
        <v>0.98</v>
      </c>
      <c r="U313" s="33">
        <v>0.1522</v>
      </c>
    </row>
    <row r="314" spans="1:21" x14ac:dyDescent="0.25">
      <c r="A314" t="s">
        <v>24</v>
      </c>
      <c r="B314">
        <v>5.87</v>
      </c>
      <c r="C314">
        <v>5.89</v>
      </c>
      <c r="D314">
        <v>1.68</v>
      </c>
      <c r="E314">
        <v>0.77400000000000002</v>
      </c>
      <c r="F314" s="33">
        <v>9.8000000000000004E-2</v>
      </c>
      <c r="G314">
        <v>0.74299999999999999</v>
      </c>
      <c r="H314">
        <v>3.09</v>
      </c>
      <c r="I314">
        <v>4.9400000000000004</v>
      </c>
      <c r="J314">
        <v>24.44</v>
      </c>
      <c r="K314">
        <v>5.93</v>
      </c>
      <c r="L314">
        <v>5.29</v>
      </c>
      <c r="M314" s="33">
        <v>0.15670000000000001</v>
      </c>
      <c r="N314" s="33">
        <v>0.1333</v>
      </c>
      <c r="O314">
        <v>1.7</v>
      </c>
      <c r="P314" s="33">
        <v>0.2054</v>
      </c>
      <c r="Q314" s="33">
        <v>0.28589999999999999</v>
      </c>
      <c r="R314" s="34">
        <v>2324700</v>
      </c>
      <c r="S314" s="34">
        <v>3960140000</v>
      </c>
      <c r="T314">
        <v>0.78</v>
      </c>
      <c r="U314" s="33">
        <v>0.2727</v>
      </c>
    </row>
    <row r="315" spans="1:21" x14ac:dyDescent="0.25">
      <c r="A315" t="s">
        <v>96</v>
      </c>
      <c r="B315">
        <v>7.32</v>
      </c>
      <c r="C315">
        <v>7.35</v>
      </c>
      <c r="D315">
        <v>2.1</v>
      </c>
      <c r="E315">
        <v>0.96499999999999997</v>
      </c>
      <c r="F315" s="33">
        <v>7.8600000000000003E-2</v>
      </c>
      <c r="G315">
        <v>0.92600000000000005</v>
      </c>
      <c r="H315">
        <v>3.85</v>
      </c>
      <c r="I315">
        <v>6.16</v>
      </c>
      <c r="J315">
        <v>30.48</v>
      </c>
      <c r="K315">
        <v>7.15</v>
      </c>
      <c r="L315">
        <v>6.37</v>
      </c>
      <c r="M315" s="33">
        <v>0.15670000000000001</v>
      </c>
      <c r="N315" s="33">
        <v>0.1333</v>
      </c>
      <c r="O315">
        <v>1.7</v>
      </c>
      <c r="P315" s="33">
        <v>0.2054</v>
      </c>
      <c r="Q315" s="33">
        <v>0.28589999999999999</v>
      </c>
      <c r="R315" s="34">
        <v>93870400</v>
      </c>
      <c r="S315" s="34">
        <v>3960140000</v>
      </c>
      <c r="T315">
        <v>0.78</v>
      </c>
      <c r="U315" s="33">
        <v>0.2727</v>
      </c>
    </row>
    <row r="316" spans="1:21" x14ac:dyDescent="0.25">
      <c r="A316" t="s">
        <v>38</v>
      </c>
      <c r="B316">
        <v>17.38</v>
      </c>
      <c r="C316">
        <v>13.41</v>
      </c>
      <c r="D316">
        <v>2.79</v>
      </c>
      <c r="E316">
        <v>2.5110000000000001</v>
      </c>
      <c r="F316" s="33">
        <v>7.8100000000000003E-2</v>
      </c>
      <c r="G316">
        <v>1.1779999999999999</v>
      </c>
      <c r="H316">
        <v>56.92</v>
      </c>
      <c r="I316">
        <v>8.3000000000000007</v>
      </c>
      <c r="J316">
        <v>-3.03</v>
      </c>
      <c r="K316">
        <v>10.61</v>
      </c>
      <c r="L316">
        <v>7.82</v>
      </c>
      <c r="M316" s="33">
        <v>0.30259999999999998</v>
      </c>
      <c r="N316" s="33">
        <v>0.18940000000000001</v>
      </c>
      <c r="O316">
        <v>1.1200000000000001</v>
      </c>
      <c r="P316" s="33">
        <v>0.16070000000000001</v>
      </c>
      <c r="Q316" s="33">
        <v>0.20810000000000001</v>
      </c>
      <c r="R316" s="34">
        <v>21877600</v>
      </c>
      <c r="S316" s="34">
        <v>2747140000</v>
      </c>
      <c r="T316">
        <v>0.99</v>
      </c>
      <c r="U316" s="33">
        <v>4.9299999999999997E-2</v>
      </c>
    </row>
    <row r="317" spans="1:21" x14ac:dyDescent="0.25">
      <c r="A317" t="s">
        <v>83</v>
      </c>
      <c r="B317">
        <v>4.57</v>
      </c>
      <c r="C317">
        <v>221.62</v>
      </c>
      <c r="D317">
        <v>0.4</v>
      </c>
      <c r="E317">
        <v>0.19</v>
      </c>
      <c r="F317" s="33">
        <v>5.9900000000000002E-2</v>
      </c>
      <c r="G317">
        <v>0.154</v>
      </c>
      <c r="H317">
        <v>0.46</v>
      </c>
      <c r="I317">
        <v>2.87</v>
      </c>
      <c r="J317">
        <v>3.88</v>
      </c>
      <c r="K317">
        <v>6.29</v>
      </c>
      <c r="L317">
        <v>4.91</v>
      </c>
      <c r="M317" s="33">
        <v>6.6199999999999995E-2</v>
      </c>
      <c r="N317" s="33">
        <v>2.3999999999999998E-3</v>
      </c>
      <c r="O317">
        <v>2.0299999999999998</v>
      </c>
      <c r="P317" s="33">
        <v>6.9900000000000004E-2</v>
      </c>
      <c r="Q317" s="33">
        <v>1.8E-3</v>
      </c>
      <c r="R317" s="34">
        <v>7289810</v>
      </c>
      <c r="S317" s="34">
        <v>1607650000</v>
      </c>
      <c r="T317">
        <v>0.77</v>
      </c>
      <c r="U317" s="33">
        <v>7.8299999999999995E-2</v>
      </c>
    </row>
    <row r="318" spans="1:21" x14ac:dyDescent="0.25">
      <c r="A318" t="s">
        <v>168</v>
      </c>
      <c r="B318">
        <v>41.05</v>
      </c>
      <c r="C318">
        <v>3.25</v>
      </c>
      <c r="D318">
        <v>1.38</v>
      </c>
      <c r="E318">
        <v>2.3580000000000001</v>
      </c>
      <c r="F318" s="33">
        <v>0</v>
      </c>
      <c r="G318">
        <v>0.67200000000000004</v>
      </c>
      <c r="H318">
        <v>6.46</v>
      </c>
      <c r="I318">
        <v>6</v>
      </c>
      <c r="J318">
        <v>-1.85</v>
      </c>
      <c r="K318">
        <v>8.93</v>
      </c>
      <c r="L318">
        <v>5.73</v>
      </c>
      <c r="M318" s="33">
        <v>0.39279999999999998</v>
      </c>
      <c r="N318" s="33">
        <v>0.72609999999999997</v>
      </c>
      <c r="O318">
        <v>3.19</v>
      </c>
      <c r="P318" s="33">
        <v>0.1234</v>
      </c>
      <c r="Q318" s="33">
        <v>0.42580000000000001</v>
      </c>
      <c r="R318" s="34">
        <v>479001000</v>
      </c>
      <c r="S318" s="34">
        <v>26603200000</v>
      </c>
      <c r="T318">
        <v>0.83</v>
      </c>
      <c r="U318" s="33">
        <v>0.59109999999999996</v>
      </c>
    </row>
    <row r="319" spans="1:21" x14ac:dyDescent="0.25">
      <c r="A319" t="s">
        <v>21</v>
      </c>
      <c r="B319">
        <v>15.75</v>
      </c>
      <c r="C319">
        <v>70.88</v>
      </c>
      <c r="D319">
        <v>2.14</v>
      </c>
      <c r="E319">
        <v>0.58699999999999997</v>
      </c>
      <c r="F319" s="33">
        <v>3.3E-3</v>
      </c>
      <c r="G319">
        <v>0.52100000000000002</v>
      </c>
      <c r="H319">
        <v>1.89</v>
      </c>
      <c r="I319">
        <v>7.55</v>
      </c>
      <c r="J319">
        <v>-2.85</v>
      </c>
      <c r="K319">
        <v>10.74</v>
      </c>
      <c r="L319">
        <v>6.81</v>
      </c>
      <c r="M319" s="33">
        <v>7.7799999999999994E-2</v>
      </c>
      <c r="N319" s="33">
        <v>2.3099999999999999E-2</v>
      </c>
      <c r="O319">
        <v>1.96</v>
      </c>
      <c r="P319" s="33">
        <v>9.6100000000000005E-2</v>
      </c>
      <c r="Q319" s="33">
        <v>3.0200000000000001E-2</v>
      </c>
      <c r="R319" s="34">
        <v>3969790</v>
      </c>
      <c r="S319" s="34">
        <v>343979000</v>
      </c>
      <c r="T319">
        <v>1.95</v>
      </c>
      <c r="U319" s="33">
        <v>0.48799999999999999</v>
      </c>
    </row>
    <row r="320" spans="1:21" x14ac:dyDescent="0.25">
      <c r="A320" t="s">
        <v>16</v>
      </c>
      <c r="B320">
        <v>52.6</v>
      </c>
      <c r="C320">
        <v>12.03</v>
      </c>
      <c r="D320">
        <v>2.4500000000000002</v>
      </c>
      <c r="E320">
        <v>0.93700000000000006</v>
      </c>
      <c r="F320" s="33">
        <v>3.0099999999999998E-2</v>
      </c>
      <c r="G320">
        <v>0.68799999999999994</v>
      </c>
      <c r="H320">
        <v>10.89</v>
      </c>
      <c r="I320">
        <v>1.1499999999999999</v>
      </c>
      <c r="J320">
        <v>-4.17</v>
      </c>
      <c r="K320">
        <v>0.81</v>
      </c>
      <c r="L320">
        <v>0.8</v>
      </c>
      <c r="M320" s="33">
        <v>0.81850000000000001</v>
      </c>
      <c r="N320" s="33">
        <v>7.9200000000000007E-2</v>
      </c>
      <c r="O320">
        <v>1.1299999999999999</v>
      </c>
      <c r="P320" s="33">
        <v>0.75109999999999999</v>
      </c>
      <c r="Q320" s="33">
        <v>0.2039</v>
      </c>
      <c r="R320" s="34">
        <v>87381100</v>
      </c>
      <c r="S320" s="34">
        <v>13856800000</v>
      </c>
      <c r="T320">
        <v>0</v>
      </c>
      <c r="U320" s="33">
        <v>0.18590000000000001</v>
      </c>
    </row>
    <row r="321" spans="1:21" x14ac:dyDescent="0.25">
      <c r="A321" t="s">
        <v>221</v>
      </c>
      <c r="B321">
        <v>4.92</v>
      </c>
      <c r="C321">
        <v>-6.08</v>
      </c>
      <c r="D321">
        <v>2.2000000000000002</v>
      </c>
      <c r="E321">
        <v>0.28000000000000003</v>
      </c>
      <c r="F321" s="33">
        <v>0</v>
      </c>
      <c r="G321">
        <v>0.192</v>
      </c>
      <c r="H321">
        <v>-3.48</v>
      </c>
      <c r="I321">
        <v>8.81</v>
      </c>
      <c r="J321">
        <v>-0.36</v>
      </c>
      <c r="K321">
        <v>21.63</v>
      </c>
      <c r="L321">
        <v>6.34</v>
      </c>
      <c r="M321" s="33">
        <v>3.1800000000000002E-2</v>
      </c>
      <c r="N321" s="33">
        <v>-4.6100000000000002E-2</v>
      </c>
      <c r="O321">
        <v>0.87</v>
      </c>
      <c r="P321" s="33">
        <v>3.15E-2</v>
      </c>
      <c r="Q321" s="33">
        <v>-0.36120000000000002</v>
      </c>
      <c r="R321" s="34">
        <v>1762480</v>
      </c>
      <c r="S321" s="34">
        <v>315773000</v>
      </c>
      <c r="T321">
        <v>4.5</v>
      </c>
      <c r="U321" s="33">
        <v>0.1201</v>
      </c>
    </row>
    <row r="322" spans="1:21" x14ac:dyDescent="0.25">
      <c r="A322" t="s">
        <v>444</v>
      </c>
      <c r="B322">
        <v>8.65</v>
      </c>
      <c r="C322">
        <v>10.78</v>
      </c>
      <c r="D322">
        <v>0.94</v>
      </c>
      <c r="E322">
        <v>0.505</v>
      </c>
      <c r="F322" s="33">
        <v>3.1300000000000001E-2</v>
      </c>
      <c r="G322">
        <v>0.39100000000000001</v>
      </c>
      <c r="H322">
        <v>1.1499999999999999</v>
      </c>
      <c r="I322">
        <v>11.68</v>
      </c>
      <c r="J322">
        <v>6.75</v>
      </c>
      <c r="K322">
        <v>15.66</v>
      </c>
      <c r="L322">
        <v>7.73</v>
      </c>
      <c r="M322" s="33">
        <v>4.3200000000000002E-2</v>
      </c>
      <c r="N322" s="33">
        <v>7.2099999999999997E-2</v>
      </c>
      <c r="O322">
        <v>2.56</v>
      </c>
      <c r="P322" s="33">
        <v>4.9299999999999997E-2</v>
      </c>
      <c r="Q322" s="33">
        <v>8.77E-2</v>
      </c>
      <c r="R322" s="34">
        <v>4507.93</v>
      </c>
      <c r="S322" s="34">
        <v>439823000</v>
      </c>
      <c r="T322">
        <v>0.88</v>
      </c>
      <c r="U322" s="33">
        <v>5.5800000000000002E-2</v>
      </c>
    </row>
    <row r="323" spans="1:21" x14ac:dyDescent="0.25">
      <c r="A323" t="s">
        <v>106</v>
      </c>
      <c r="B323">
        <v>4.4800000000000004</v>
      </c>
      <c r="C323">
        <v>5.58</v>
      </c>
      <c r="D323">
        <v>0.49</v>
      </c>
      <c r="E323">
        <v>0.26200000000000001</v>
      </c>
      <c r="F323" s="33">
        <v>6.0400000000000002E-2</v>
      </c>
      <c r="G323">
        <v>0.20200000000000001</v>
      </c>
      <c r="H323">
        <v>0.59</v>
      </c>
      <c r="I323">
        <v>6.05</v>
      </c>
      <c r="J323">
        <v>3.49</v>
      </c>
      <c r="K323">
        <v>10.029999999999999</v>
      </c>
      <c r="L323">
        <v>4.95</v>
      </c>
      <c r="M323" s="33">
        <v>4.3200000000000002E-2</v>
      </c>
      <c r="N323" s="33">
        <v>7.2099999999999997E-2</v>
      </c>
      <c r="O323">
        <v>2.56</v>
      </c>
      <c r="P323" s="33">
        <v>4.9299999999999997E-2</v>
      </c>
      <c r="Q323" s="33">
        <v>8.77E-2</v>
      </c>
      <c r="R323" s="34">
        <v>118828</v>
      </c>
      <c r="S323" s="34">
        <v>439823000</v>
      </c>
      <c r="T323">
        <v>0.88</v>
      </c>
      <c r="U323" s="33">
        <v>5.5800000000000002E-2</v>
      </c>
    </row>
    <row r="324" spans="1:21" x14ac:dyDescent="0.25">
      <c r="A324" t="s">
        <v>144</v>
      </c>
      <c r="B324">
        <v>2.14</v>
      </c>
      <c r="C324">
        <v>161.35</v>
      </c>
      <c r="D324">
        <v>0.47</v>
      </c>
      <c r="E324">
        <v>0.39300000000000002</v>
      </c>
      <c r="F324" s="33">
        <v>0</v>
      </c>
      <c r="G324">
        <v>0.13800000000000001</v>
      </c>
      <c r="H324">
        <v>4.41</v>
      </c>
      <c r="I324">
        <v>1.1599999999999999</v>
      </c>
      <c r="J324">
        <v>-0.46</v>
      </c>
      <c r="K324">
        <v>2.82</v>
      </c>
      <c r="L324">
        <v>1.65</v>
      </c>
      <c r="M324" s="33">
        <v>0.33879999999999999</v>
      </c>
      <c r="N324" s="33">
        <v>8.0000000000000002E-3</v>
      </c>
      <c r="O324">
        <v>1.08</v>
      </c>
      <c r="P324" s="33">
        <v>0.1847</v>
      </c>
      <c r="Q324" s="33">
        <v>2.8999999999999998E-3</v>
      </c>
      <c r="R324" s="34">
        <v>4747860</v>
      </c>
      <c r="S324" s="34">
        <v>1297730000</v>
      </c>
      <c r="T324">
        <v>1.49</v>
      </c>
      <c r="U324" s="33">
        <v>-7.3200000000000001E-2</v>
      </c>
    </row>
    <row r="325" spans="1:21" x14ac:dyDescent="0.25">
      <c r="A325" t="s">
        <v>98</v>
      </c>
      <c r="B325">
        <v>14.96</v>
      </c>
      <c r="C325">
        <v>21.85</v>
      </c>
      <c r="D325">
        <v>3.96</v>
      </c>
      <c r="E325">
        <v>0.64500000000000002</v>
      </c>
      <c r="F325" s="33">
        <v>2.5100000000000001E-2</v>
      </c>
      <c r="G325">
        <v>1.1359999999999999</v>
      </c>
      <c r="H325">
        <v>7.65</v>
      </c>
      <c r="I325">
        <v>11.15</v>
      </c>
      <c r="J325">
        <v>-8.5</v>
      </c>
      <c r="K325">
        <v>12.32</v>
      </c>
      <c r="L325">
        <v>6.84</v>
      </c>
      <c r="M325" s="33">
        <v>5.79E-2</v>
      </c>
      <c r="N325" s="33">
        <v>2.9700000000000001E-2</v>
      </c>
      <c r="O325">
        <v>1.34</v>
      </c>
      <c r="P325" s="33">
        <v>0.1431</v>
      </c>
      <c r="Q325" s="33">
        <v>0.18129999999999999</v>
      </c>
      <c r="R325" s="34">
        <v>245176000</v>
      </c>
      <c r="S325" s="34">
        <v>6485910000</v>
      </c>
      <c r="T325">
        <v>0.49</v>
      </c>
      <c r="U325" s="33">
        <v>0.17849999999999999</v>
      </c>
    </row>
    <row r="326" spans="1:21" x14ac:dyDescent="0.25">
      <c r="A326" t="s">
        <v>54</v>
      </c>
      <c r="B326">
        <v>19.260000000000002</v>
      </c>
      <c r="C326">
        <v>-25.02</v>
      </c>
      <c r="D326">
        <v>2.4500000000000002</v>
      </c>
      <c r="E326">
        <v>2.597</v>
      </c>
      <c r="F326" s="33">
        <v>0</v>
      </c>
      <c r="G326">
        <v>0.69499999999999995</v>
      </c>
      <c r="H326">
        <v>7.01</v>
      </c>
      <c r="I326">
        <v>6.32</v>
      </c>
      <c r="J326">
        <v>-1.38</v>
      </c>
      <c r="K326">
        <v>8.64</v>
      </c>
      <c r="L326">
        <v>4.3</v>
      </c>
      <c r="M326" s="33">
        <v>0.41110000000000002</v>
      </c>
      <c r="N326" s="33">
        <v>-0.1028</v>
      </c>
      <c r="O326">
        <v>1.9</v>
      </c>
      <c r="P326" s="33">
        <v>0.13270000000000001</v>
      </c>
      <c r="Q326" s="33">
        <v>-9.7799999999999998E-2</v>
      </c>
      <c r="R326" s="34">
        <v>227514000</v>
      </c>
      <c r="S326" s="34">
        <v>14598900000</v>
      </c>
      <c r="T326">
        <v>1.44</v>
      </c>
      <c r="U326" s="33">
        <v>0.18099999999999999</v>
      </c>
    </row>
    <row r="327" spans="1:21" x14ac:dyDescent="0.25">
      <c r="A327" t="s">
        <v>231</v>
      </c>
      <c r="B327">
        <v>1.97</v>
      </c>
      <c r="C327">
        <v>-4.79</v>
      </c>
      <c r="D327">
        <v>1.1599999999999999</v>
      </c>
      <c r="E327">
        <v>0.08</v>
      </c>
      <c r="F327" s="33">
        <v>5.1000000000000004E-3</v>
      </c>
      <c r="G327">
        <v>0.14499999999999999</v>
      </c>
      <c r="H327">
        <v>1.34</v>
      </c>
      <c r="I327">
        <v>8.34</v>
      </c>
      <c r="J327">
        <v>-0.33</v>
      </c>
      <c r="K327">
        <v>27.45</v>
      </c>
      <c r="L327">
        <v>5.69</v>
      </c>
      <c r="M327" s="33">
        <v>9.5999999999999992E-3</v>
      </c>
      <c r="N327" s="33">
        <v>-1.6400000000000001E-2</v>
      </c>
      <c r="O327">
        <v>1.33</v>
      </c>
      <c r="P327" s="33">
        <v>2.5100000000000001E-2</v>
      </c>
      <c r="Q327" s="33">
        <v>-0.24199999999999999</v>
      </c>
      <c r="R327" s="34">
        <v>32254000</v>
      </c>
      <c r="S327" s="34">
        <v>17588500000</v>
      </c>
      <c r="T327">
        <v>3.89</v>
      </c>
      <c r="U327" s="33">
        <v>0.25109999999999999</v>
      </c>
    </row>
    <row r="328" spans="1:21" x14ac:dyDescent="0.25">
      <c r="A328" t="s">
        <v>203</v>
      </c>
      <c r="B328">
        <v>7.82</v>
      </c>
      <c r="C328">
        <v>5.81</v>
      </c>
      <c r="D328">
        <v>1.33</v>
      </c>
      <c r="E328">
        <v>1.125</v>
      </c>
      <c r="F328" s="33">
        <v>8.4699999999999998E-2</v>
      </c>
      <c r="G328">
        <v>0.50900000000000001</v>
      </c>
      <c r="H328">
        <v>2</v>
      </c>
      <c r="I328">
        <v>4.93</v>
      </c>
      <c r="J328">
        <v>-1.95</v>
      </c>
      <c r="K328">
        <v>7.83</v>
      </c>
      <c r="L328">
        <v>5.0999999999999996</v>
      </c>
      <c r="M328" s="33">
        <v>0.22800000000000001</v>
      </c>
      <c r="N328" s="33">
        <v>0.19350000000000001</v>
      </c>
      <c r="O328">
        <v>3.51</v>
      </c>
      <c r="P328" s="33">
        <v>0.13189999999999999</v>
      </c>
      <c r="Q328" s="33">
        <v>0.22839999999999999</v>
      </c>
      <c r="R328" s="34">
        <v>4955240</v>
      </c>
      <c r="S328" s="34">
        <v>1412250000</v>
      </c>
      <c r="T328">
        <v>1.25</v>
      </c>
      <c r="U328" s="33">
        <v>7.1400000000000005E-2</v>
      </c>
    </row>
    <row r="329" spans="1:21" x14ac:dyDescent="0.25">
      <c r="A329" t="s">
        <v>131</v>
      </c>
      <c r="B329">
        <v>8.16</v>
      </c>
      <c r="C329">
        <v>8.42</v>
      </c>
      <c r="D329">
        <v>0.87</v>
      </c>
      <c r="E329">
        <v>0.214</v>
      </c>
      <c r="F329" s="33">
        <v>5.0299999999999997E-2</v>
      </c>
      <c r="G329">
        <v>0.14799999999999999</v>
      </c>
      <c r="H329">
        <v>0.53</v>
      </c>
      <c r="I329">
        <v>1.88</v>
      </c>
      <c r="J329">
        <v>-0.69</v>
      </c>
      <c r="K329">
        <v>6.65</v>
      </c>
      <c r="L329">
        <v>5.26</v>
      </c>
      <c r="M329" s="33">
        <v>0.1138</v>
      </c>
      <c r="N329" s="33">
        <v>4.6100000000000002E-2</v>
      </c>
      <c r="O329">
        <v>2.06</v>
      </c>
      <c r="P329" s="33">
        <v>9.9099999999999994E-2</v>
      </c>
      <c r="Q329" s="33">
        <v>0.1027</v>
      </c>
      <c r="R329" s="34">
        <v>356436</v>
      </c>
      <c r="S329" s="34">
        <v>3105150000</v>
      </c>
      <c r="T329">
        <v>2.93</v>
      </c>
      <c r="U329" s="33">
        <v>0.16830000000000001</v>
      </c>
    </row>
    <row r="330" spans="1:21" x14ac:dyDescent="0.25">
      <c r="A330" t="s">
        <v>130</v>
      </c>
      <c r="B330">
        <v>8.98</v>
      </c>
      <c r="C330">
        <v>9.27</v>
      </c>
      <c r="D330">
        <v>0.95</v>
      </c>
      <c r="E330">
        <v>0.23499999999999999</v>
      </c>
      <c r="F330" s="33">
        <v>4.5699999999999998E-2</v>
      </c>
      <c r="G330">
        <v>0.16300000000000001</v>
      </c>
      <c r="H330">
        <v>0.57999999999999996</v>
      </c>
      <c r="I330">
        <v>2.0699999999999998</v>
      </c>
      <c r="J330">
        <v>-0.76</v>
      </c>
      <c r="K330">
        <v>6.84</v>
      </c>
      <c r="L330">
        <v>5.41</v>
      </c>
      <c r="M330" s="33">
        <v>0.1138</v>
      </c>
      <c r="N330" s="33">
        <v>4.6100000000000002E-2</v>
      </c>
      <c r="O330">
        <v>2.06</v>
      </c>
      <c r="P330" s="33">
        <v>9.9099999999999994E-2</v>
      </c>
      <c r="Q330" s="33">
        <v>0.1027</v>
      </c>
      <c r="R330" s="34">
        <v>33655000</v>
      </c>
      <c r="S330" s="34">
        <v>3105150000</v>
      </c>
      <c r="T330">
        <v>2.93</v>
      </c>
      <c r="U330" s="33">
        <v>0.16830000000000001</v>
      </c>
    </row>
    <row r="331" spans="1:21" x14ac:dyDescent="0.25">
      <c r="A331" t="s">
        <v>263</v>
      </c>
      <c r="B331">
        <v>2.7</v>
      </c>
      <c r="C331">
        <v>-4.5199999999999996</v>
      </c>
      <c r="D331">
        <v>-4.43</v>
      </c>
      <c r="E331">
        <v>7.88</v>
      </c>
      <c r="F331" s="33">
        <v>0</v>
      </c>
      <c r="G331">
        <v>1.8420000000000001</v>
      </c>
      <c r="H331">
        <v>-11.89</v>
      </c>
      <c r="I331">
        <v>-18.53</v>
      </c>
      <c r="J331">
        <v>-1.7</v>
      </c>
      <c r="K331">
        <v>-18.53</v>
      </c>
      <c r="L331">
        <v>-36.01</v>
      </c>
      <c r="M331" s="33">
        <v>-0.42530000000000001</v>
      </c>
      <c r="N331" s="33">
        <v>-1.8663000000000001</v>
      </c>
      <c r="O331">
        <v>0.68</v>
      </c>
      <c r="P331" s="33">
        <v>-0.1026</v>
      </c>
      <c r="Q331" s="33">
        <v>0.98080000000000001</v>
      </c>
      <c r="R331" s="34">
        <v>1501850</v>
      </c>
      <c r="S331" s="34">
        <v>-19381000</v>
      </c>
      <c r="T331">
        <v>0</v>
      </c>
      <c r="U331" s="33">
        <v>-0.2402</v>
      </c>
    </row>
    <row r="332" spans="1:21" x14ac:dyDescent="0.25">
      <c r="A332" t="s">
        <v>172</v>
      </c>
      <c r="B332">
        <v>1.1299999999999999</v>
      </c>
      <c r="C332">
        <v>-1.89</v>
      </c>
      <c r="D332">
        <v>-1.86</v>
      </c>
      <c r="E332">
        <v>3.298</v>
      </c>
      <c r="F332" s="33">
        <v>0</v>
      </c>
      <c r="G332">
        <v>0.77100000000000002</v>
      </c>
      <c r="H332">
        <v>-4.97</v>
      </c>
      <c r="I332">
        <v>-7.75</v>
      </c>
      <c r="J332">
        <v>-0.71</v>
      </c>
      <c r="K332">
        <v>-7.75</v>
      </c>
      <c r="L332">
        <v>-15.07</v>
      </c>
      <c r="M332" s="33">
        <v>-0.42530000000000001</v>
      </c>
      <c r="N332" s="33">
        <v>-1.8663000000000001</v>
      </c>
      <c r="O332">
        <v>0.68</v>
      </c>
      <c r="P332" s="33">
        <v>-0.1026</v>
      </c>
      <c r="Q332" s="33">
        <v>0.98080000000000001</v>
      </c>
      <c r="R332" s="34">
        <v>4780820</v>
      </c>
      <c r="S332" s="34">
        <v>-19381000</v>
      </c>
      <c r="T332">
        <v>0</v>
      </c>
      <c r="U332" s="33">
        <v>-0.2402</v>
      </c>
    </row>
    <row r="333" spans="1:21" x14ac:dyDescent="0.25">
      <c r="A333" t="s">
        <v>224</v>
      </c>
      <c r="B333">
        <v>2.73</v>
      </c>
      <c r="C333">
        <v>-0.86</v>
      </c>
      <c r="D333">
        <v>0.54</v>
      </c>
      <c r="E333">
        <v>0.246</v>
      </c>
      <c r="F333" s="33">
        <v>0</v>
      </c>
      <c r="G333">
        <v>0.09</v>
      </c>
      <c r="H333">
        <v>0.42</v>
      </c>
      <c r="I333">
        <v>-2.2000000000000002</v>
      </c>
      <c r="J333">
        <v>-0.27</v>
      </c>
      <c r="K333">
        <v>-12.07</v>
      </c>
      <c r="L333">
        <v>-13.73</v>
      </c>
      <c r="M333" s="33">
        <v>-0.1118</v>
      </c>
      <c r="N333" s="33">
        <v>-0.2767</v>
      </c>
      <c r="O333">
        <v>1.79</v>
      </c>
      <c r="P333" s="33">
        <v>-4.2700000000000002E-2</v>
      </c>
      <c r="Q333" s="33">
        <v>-0.62760000000000005</v>
      </c>
      <c r="R333" s="34">
        <v>25986.5</v>
      </c>
      <c r="S333" s="34">
        <v>220547000</v>
      </c>
      <c r="T333">
        <v>2.5499999999999998</v>
      </c>
      <c r="U333" s="33">
        <v>4.4600000000000001E-2</v>
      </c>
    </row>
    <row r="334" spans="1:21" x14ac:dyDescent="0.25">
      <c r="A334" t="s">
        <v>176</v>
      </c>
      <c r="B334">
        <v>36.24</v>
      </c>
      <c r="C334">
        <v>20.32</v>
      </c>
      <c r="D334">
        <v>3.32</v>
      </c>
      <c r="E334">
        <v>1.6160000000000001</v>
      </c>
      <c r="F334" s="33">
        <v>1.9199999999999998E-2</v>
      </c>
      <c r="G334">
        <v>0.79500000000000004</v>
      </c>
      <c r="H334">
        <v>2.42</v>
      </c>
      <c r="I334">
        <v>10.53</v>
      </c>
      <c r="J334">
        <v>-3.46</v>
      </c>
      <c r="K334">
        <v>10.26</v>
      </c>
      <c r="L334">
        <v>8.4600000000000009</v>
      </c>
      <c r="M334" s="33">
        <v>0.15340000000000001</v>
      </c>
      <c r="N334" s="33">
        <v>8.1100000000000005E-2</v>
      </c>
      <c r="O334">
        <v>2.87</v>
      </c>
      <c r="P334" s="33">
        <v>0.12540000000000001</v>
      </c>
      <c r="Q334" s="33">
        <v>0.1633</v>
      </c>
      <c r="R334" s="34">
        <v>193650000</v>
      </c>
      <c r="S334" s="34">
        <v>25003000000</v>
      </c>
      <c r="T334">
        <v>1.51</v>
      </c>
      <c r="U334" s="33">
        <v>0.37930000000000003</v>
      </c>
    </row>
    <row r="335" spans="1:21" x14ac:dyDescent="0.25">
      <c r="A335" t="s">
        <v>445</v>
      </c>
      <c r="B335">
        <v>4</v>
      </c>
      <c r="C335">
        <v>42.38</v>
      </c>
      <c r="D335">
        <v>1.92</v>
      </c>
      <c r="E335">
        <v>9.2639999999999993</v>
      </c>
      <c r="F335" s="33">
        <v>0</v>
      </c>
      <c r="G335">
        <v>1.802</v>
      </c>
      <c r="H335">
        <v>1.97</v>
      </c>
      <c r="I335">
        <v>-29.66</v>
      </c>
      <c r="J335">
        <v>1.97</v>
      </c>
      <c r="K335">
        <v>-14.24</v>
      </c>
      <c r="L335">
        <v>-19.5</v>
      </c>
      <c r="M335" s="33">
        <v>-0.31230000000000002</v>
      </c>
      <c r="N335" s="33">
        <v>0.21859999999999999</v>
      </c>
      <c r="O335">
        <v>16.47</v>
      </c>
      <c r="P335" s="33">
        <v>-1.5592999999999999</v>
      </c>
      <c r="Q335" s="33">
        <v>4.53E-2</v>
      </c>
      <c r="R335" s="34">
        <v>35872.800000000003</v>
      </c>
      <c r="S335" s="34">
        <v>293687000</v>
      </c>
      <c r="T335">
        <v>0</v>
      </c>
      <c r="U335" s="33">
        <v>1.7399999999999999E-2</v>
      </c>
    </row>
    <row r="336" spans="1:21" x14ac:dyDescent="0.25">
      <c r="A336" t="s">
        <v>170</v>
      </c>
      <c r="B336">
        <v>14.42</v>
      </c>
      <c r="C336">
        <v>7.63</v>
      </c>
      <c r="D336">
        <v>0.95</v>
      </c>
      <c r="E336">
        <v>1.252</v>
      </c>
      <c r="F336" s="33">
        <v>0.15210000000000001</v>
      </c>
      <c r="G336">
        <v>0.56799999999999995</v>
      </c>
      <c r="H336">
        <v>4.51</v>
      </c>
      <c r="I336">
        <v>4.1500000000000004</v>
      </c>
      <c r="J336">
        <v>-2.99</v>
      </c>
      <c r="K336">
        <v>4.97</v>
      </c>
      <c r="L336">
        <v>2.94</v>
      </c>
      <c r="M336" s="33">
        <v>0.30180000000000001</v>
      </c>
      <c r="N336" s="33">
        <v>0.16420000000000001</v>
      </c>
      <c r="O336">
        <v>2.4700000000000002</v>
      </c>
      <c r="P336" s="33">
        <v>0.1681</v>
      </c>
      <c r="Q336" s="33">
        <v>0.12429999999999999</v>
      </c>
      <c r="R336" s="34">
        <v>52484200</v>
      </c>
      <c r="S336" s="34">
        <v>4463790000</v>
      </c>
      <c r="T336">
        <v>0.42</v>
      </c>
      <c r="U336" s="33">
        <v>0.26989999999999997</v>
      </c>
    </row>
    <row r="337" spans="1:21" x14ac:dyDescent="0.25">
      <c r="A337" t="s">
        <v>69</v>
      </c>
      <c r="B337">
        <v>6.8</v>
      </c>
      <c r="C337">
        <v>10.81</v>
      </c>
      <c r="D337">
        <v>3.45</v>
      </c>
      <c r="E337">
        <v>0.79400000000000004</v>
      </c>
      <c r="F337" s="33">
        <v>8.9200000000000002E-2</v>
      </c>
      <c r="G337">
        <v>0.47699999999999998</v>
      </c>
      <c r="H337">
        <v>6.52</v>
      </c>
      <c r="I337">
        <v>4.16</v>
      </c>
      <c r="J337">
        <v>-0.9</v>
      </c>
      <c r="K337">
        <v>7.97</v>
      </c>
      <c r="L337">
        <v>6.3</v>
      </c>
      <c r="M337" s="33">
        <v>0.1908</v>
      </c>
      <c r="N337" s="33">
        <v>0.10059999999999999</v>
      </c>
      <c r="O337">
        <v>1.38</v>
      </c>
      <c r="P337" s="33">
        <v>0.13450000000000001</v>
      </c>
      <c r="Q337" s="33">
        <v>0.31929999999999997</v>
      </c>
      <c r="R337" s="34">
        <v>9798.5400000000009</v>
      </c>
      <c r="S337" s="34">
        <v>4157530000</v>
      </c>
      <c r="T337">
        <v>3.88</v>
      </c>
      <c r="U337" s="33">
        <v>9.06E-2</v>
      </c>
    </row>
    <row r="338" spans="1:21" x14ac:dyDescent="0.25">
      <c r="A338" t="s">
        <v>129</v>
      </c>
      <c r="B338">
        <v>44.2</v>
      </c>
      <c r="C338">
        <v>24.88</v>
      </c>
      <c r="D338">
        <v>1.81</v>
      </c>
      <c r="E338">
        <v>1.236</v>
      </c>
      <c r="F338" s="33">
        <v>3.73E-2</v>
      </c>
      <c r="G338">
        <v>0.59099999999999997</v>
      </c>
      <c r="H338">
        <v>9.08</v>
      </c>
      <c r="I338">
        <v>7.95</v>
      </c>
      <c r="J338">
        <v>-1.29</v>
      </c>
      <c r="K338">
        <v>13.71</v>
      </c>
      <c r="L338">
        <v>6.69</v>
      </c>
      <c r="M338" s="33">
        <v>0.15540000000000001</v>
      </c>
      <c r="N338" s="33">
        <v>4.9599999999999998E-2</v>
      </c>
      <c r="O338">
        <v>1.43</v>
      </c>
      <c r="P338" s="33">
        <v>8.9300000000000004E-2</v>
      </c>
      <c r="Q338" s="33">
        <v>7.2800000000000004E-2</v>
      </c>
      <c r="R338" s="34">
        <v>429878000</v>
      </c>
      <c r="S338" s="34">
        <v>26432600000</v>
      </c>
      <c r="T338">
        <v>1.62</v>
      </c>
      <c r="U338" s="33">
        <v>0.4466</v>
      </c>
    </row>
    <row r="339" spans="1:21" x14ac:dyDescent="0.25">
      <c r="A339" t="s">
        <v>446</v>
      </c>
      <c r="B339">
        <v>4</v>
      </c>
      <c r="C339">
        <v>-4.4000000000000004</v>
      </c>
      <c r="D339">
        <v>0.65</v>
      </c>
      <c r="E339">
        <v>1.65</v>
      </c>
      <c r="F339" s="33">
        <v>0</v>
      </c>
      <c r="G339">
        <v>0.157</v>
      </c>
      <c r="H339">
        <v>-3.32</v>
      </c>
      <c r="I339">
        <v>-6.68</v>
      </c>
      <c r="J339">
        <v>-0.24</v>
      </c>
      <c r="K339">
        <v>-20.69</v>
      </c>
      <c r="L339">
        <v>49.2</v>
      </c>
      <c r="M339" s="33">
        <v>-0.247</v>
      </c>
      <c r="N339" s="33">
        <v>-0.37469999999999998</v>
      </c>
      <c r="O339">
        <v>0.72</v>
      </c>
      <c r="P339" s="33">
        <v>-2.4899999999999999E-2</v>
      </c>
      <c r="Q339" s="33">
        <v>-0.14860000000000001</v>
      </c>
      <c r="R339" s="34">
        <v>23722.799999999999</v>
      </c>
      <c r="S339" s="34">
        <v>758413000</v>
      </c>
      <c r="T339">
        <v>1.51</v>
      </c>
      <c r="U339" s="33">
        <v>0.39360000000000001</v>
      </c>
    </row>
    <row r="340" spans="1:21" x14ac:dyDescent="0.25">
      <c r="A340" t="s">
        <v>70</v>
      </c>
      <c r="B340">
        <v>1.36</v>
      </c>
      <c r="C340">
        <v>-4.49</v>
      </c>
      <c r="D340">
        <v>0.67</v>
      </c>
      <c r="E340">
        <v>1.6830000000000001</v>
      </c>
      <c r="F340" s="33">
        <v>0</v>
      </c>
      <c r="G340">
        <v>0.16</v>
      </c>
      <c r="H340">
        <v>-3.39</v>
      </c>
      <c r="I340">
        <v>-6.81</v>
      </c>
      <c r="J340">
        <v>-0.25</v>
      </c>
      <c r="K340">
        <v>-20.82</v>
      </c>
      <c r="L340">
        <v>49.51</v>
      </c>
      <c r="M340" s="33">
        <v>-0.247</v>
      </c>
      <c r="N340" s="33">
        <v>-0.37469999999999998</v>
      </c>
      <c r="O340">
        <v>0.72</v>
      </c>
      <c r="P340" s="33">
        <v>-2.4899999999999999E-2</v>
      </c>
      <c r="Q340" s="33">
        <v>-0.14860000000000001</v>
      </c>
      <c r="R340" s="34">
        <v>80745.899999999994</v>
      </c>
      <c r="S340" s="34">
        <v>758413000</v>
      </c>
      <c r="T340">
        <v>1.51</v>
      </c>
      <c r="U340" s="33">
        <v>0.39360000000000001</v>
      </c>
    </row>
    <row r="341" spans="1:21" x14ac:dyDescent="0.25">
      <c r="A341" t="s">
        <v>88</v>
      </c>
      <c r="B341">
        <v>1.32</v>
      </c>
      <c r="C341">
        <v>-4.3600000000000003</v>
      </c>
      <c r="D341">
        <v>0.65</v>
      </c>
      <c r="E341">
        <v>1.6339999999999999</v>
      </c>
      <c r="F341" s="33">
        <v>0</v>
      </c>
      <c r="G341">
        <v>0.155</v>
      </c>
      <c r="H341">
        <v>-3.29</v>
      </c>
      <c r="I341">
        <v>-6.61</v>
      </c>
      <c r="J341">
        <v>-0.24</v>
      </c>
      <c r="K341">
        <v>-20.62</v>
      </c>
      <c r="L341">
        <v>49.04</v>
      </c>
      <c r="M341" s="33">
        <v>-0.247</v>
      </c>
      <c r="N341" s="33">
        <v>-0.37469999999999998</v>
      </c>
      <c r="O341">
        <v>0.72</v>
      </c>
      <c r="P341" s="33">
        <v>-2.4899999999999999E-2</v>
      </c>
      <c r="Q341" s="33">
        <v>-0.14860000000000001</v>
      </c>
      <c r="R341" s="34">
        <v>154651</v>
      </c>
      <c r="S341" s="34">
        <v>758413000</v>
      </c>
      <c r="T341">
        <v>1.51</v>
      </c>
      <c r="U341" s="33">
        <v>0.39360000000000001</v>
      </c>
    </row>
    <row r="342" spans="1:21" x14ac:dyDescent="0.25">
      <c r="A342" t="s">
        <v>52</v>
      </c>
      <c r="B342">
        <v>9.1199999999999992</v>
      </c>
      <c r="C342">
        <v>8.02</v>
      </c>
      <c r="D342">
        <v>0.7</v>
      </c>
      <c r="E342">
        <v>0.66100000000000003</v>
      </c>
      <c r="F342" s="33">
        <v>9.5399999999999999E-2</v>
      </c>
      <c r="G342">
        <v>0.34300000000000003</v>
      </c>
      <c r="H342">
        <v>1.06</v>
      </c>
      <c r="I342">
        <v>10.51</v>
      </c>
      <c r="J342">
        <v>3.38</v>
      </c>
      <c r="K342">
        <v>16.690000000000001</v>
      </c>
      <c r="L342">
        <v>9.36</v>
      </c>
      <c r="M342" s="33">
        <v>6.2899999999999998E-2</v>
      </c>
      <c r="N342" s="33">
        <v>8.3400000000000002E-2</v>
      </c>
      <c r="O342">
        <v>2.12</v>
      </c>
      <c r="P342" s="33">
        <v>3.9E-2</v>
      </c>
      <c r="Q342" s="33">
        <v>8.6999999999999994E-2</v>
      </c>
      <c r="R342" s="34">
        <v>893533</v>
      </c>
      <c r="S342" s="34">
        <v>1218040000</v>
      </c>
      <c r="T342">
        <v>0.65</v>
      </c>
      <c r="U342" s="33">
        <v>2.3900000000000001E-2</v>
      </c>
    </row>
    <row r="343" spans="1:21" x14ac:dyDescent="0.25">
      <c r="A343" t="s">
        <v>447</v>
      </c>
      <c r="B343">
        <v>4.17</v>
      </c>
      <c r="C343">
        <v>-2.96</v>
      </c>
      <c r="D343">
        <v>0.37</v>
      </c>
      <c r="E343">
        <v>0</v>
      </c>
      <c r="F343" s="33">
        <v>0</v>
      </c>
      <c r="G343">
        <v>0.36799999999999999</v>
      </c>
      <c r="H343">
        <v>2.88</v>
      </c>
      <c r="I343">
        <v>-183.54</v>
      </c>
      <c r="J343">
        <v>3.05</v>
      </c>
      <c r="K343">
        <v>-119.39</v>
      </c>
      <c r="L343">
        <v>-119.39</v>
      </c>
      <c r="M343" s="33">
        <v>0</v>
      </c>
      <c r="N343" s="33">
        <v>0</v>
      </c>
      <c r="O343">
        <v>31.58</v>
      </c>
      <c r="P343" s="33">
        <v>-2.3E-3</v>
      </c>
      <c r="Q343" s="33">
        <v>-0.12570000000000001</v>
      </c>
      <c r="R343" s="34">
        <v>304.98</v>
      </c>
      <c r="S343" s="34">
        <v>949721000</v>
      </c>
      <c r="T343">
        <v>0</v>
      </c>
      <c r="U343" s="33">
        <v>0</v>
      </c>
    </row>
    <row r="344" spans="1:21" x14ac:dyDescent="0.25">
      <c r="A344" t="s">
        <v>448</v>
      </c>
      <c r="B344">
        <v>6.22</v>
      </c>
      <c r="C344">
        <v>-4.41</v>
      </c>
      <c r="D344">
        <v>0.55000000000000004</v>
      </c>
      <c r="E344">
        <v>0</v>
      </c>
      <c r="F344" s="33">
        <v>9.9500000000000005E-2</v>
      </c>
      <c r="G344">
        <v>0.54800000000000004</v>
      </c>
      <c r="H344">
        <v>4.3</v>
      </c>
      <c r="I344">
        <v>-273.76</v>
      </c>
      <c r="J344">
        <v>4.55</v>
      </c>
      <c r="K344">
        <v>-209.62</v>
      </c>
      <c r="L344">
        <v>-209.62</v>
      </c>
      <c r="M344" s="33">
        <v>0</v>
      </c>
      <c r="N344" s="33">
        <v>0</v>
      </c>
      <c r="O344">
        <v>31.58</v>
      </c>
      <c r="P344" s="33">
        <v>-2.3E-3</v>
      </c>
      <c r="Q344" s="33">
        <v>-0.12570000000000001</v>
      </c>
      <c r="R344" s="34">
        <v>1028.9000000000001</v>
      </c>
      <c r="S344" s="34">
        <v>949721000</v>
      </c>
      <c r="T344">
        <v>0</v>
      </c>
      <c r="U344" s="33">
        <v>0</v>
      </c>
    </row>
    <row r="345" spans="1:21" x14ac:dyDescent="0.25">
      <c r="A345" t="s">
        <v>449</v>
      </c>
      <c r="B345">
        <v>4.2</v>
      </c>
      <c r="C345">
        <v>-2.98</v>
      </c>
      <c r="D345">
        <v>0.37</v>
      </c>
      <c r="E345">
        <v>0</v>
      </c>
      <c r="F345" s="33">
        <v>0</v>
      </c>
      <c r="G345">
        <v>0.37</v>
      </c>
      <c r="H345">
        <v>2.9</v>
      </c>
      <c r="I345">
        <v>-184.86</v>
      </c>
      <c r="J345">
        <v>3.07</v>
      </c>
      <c r="K345">
        <v>-120.71</v>
      </c>
      <c r="L345">
        <v>-120.71</v>
      </c>
      <c r="M345" s="33">
        <v>0</v>
      </c>
      <c r="N345" s="33">
        <v>0</v>
      </c>
      <c r="O345">
        <v>31.58</v>
      </c>
      <c r="P345" s="33">
        <v>-2.3E-3</v>
      </c>
      <c r="Q345" s="33">
        <v>-0.12570000000000001</v>
      </c>
      <c r="R345" s="34">
        <v>738.42</v>
      </c>
      <c r="S345" s="34">
        <v>949721000</v>
      </c>
      <c r="T345">
        <v>0</v>
      </c>
      <c r="U345" s="33">
        <v>0</v>
      </c>
    </row>
    <row r="346" spans="1:21" x14ac:dyDescent="0.25">
      <c r="A346" t="s">
        <v>8</v>
      </c>
      <c r="B346">
        <v>2.9</v>
      </c>
      <c r="C346">
        <v>-0.15</v>
      </c>
      <c r="D346">
        <v>-0.03</v>
      </c>
      <c r="E346">
        <v>2.5999999999999999E-2</v>
      </c>
      <c r="F346" s="33">
        <v>0</v>
      </c>
      <c r="G346">
        <v>2.1999999999999999E-2</v>
      </c>
      <c r="H346">
        <v>-0.08</v>
      </c>
      <c r="I346">
        <v>-0.12</v>
      </c>
      <c r="J346">
        <v>-0.03</v>
      </c>
      <c r="K346">
        <v>-0.1</v>
      </c>
      <c r="L346">
        <v>-0.1</v>
      </c>
      <c r="M346" s="33">
        <v>-0.21099999999999999</v>
      </c>
      <c r="N346" s="33">
        <v>-0.17660000000000001</v>
      </c>
      <c r="O346">
        <v>0.78</v>
      </c>
      <c r="P346" s="33">
        <v>-0.17799999999999999</v>
      </c>
      <c r="Q346" s="33">
        <v>0.19389999999999999</v>
      </c>
      <c r="R346" s="34">
        <v>11361.1</v>
      </c>
      <c r="S346" s="34">
        <v>-6919010000</v>
      </c>
      <c r="T346">
        <v>0</v>
      </c>
      <c r="U346" s="33">
        <v>0.46329999999999999</v>
      </c>
    </row>
    <row r="347" spans="1:21" x14ac:dyDescent="0.25">
      <c r="A347" t="s">
        <v>256</v>
      </c>
      <c r="B347">
        <v>1.93</v>
      </c>
      <c r="C347">
        <v>0.14000000000000001</v>
      </c>
      <c r="D347">
        <v>-0.04</v>
      </c>
      <c r="E347">
        <v>0.45800000000000002</v>
      </c>
      <c r="F347" s="33">
        <v>0</v>
      </c>
      <c r="G347">
        <v>7.6999999999999999E-2</v>
      </c>
      <c r="H347">
        <v>-0.13</v>
      </c>
      <c r="I347">
        <v>-3.28</v>
      </c>
      <c r="J347">
        <v>-0.03</v>
      </c>
      <c r="K347">
        <v>-33.159999999999997</v>
      </c>
      <c r="L347">
        <v>-33.6</v>
      </c>
      <c r="M347" s="33">
        <v>-0.13950000000000001</v>
      </c>
      <c r="N347" s="33">
        <v>3.2847</v>
      </c>
      <c r="O347">
        <v>0.45</v>
      </c>
      <c r="P347" s="33">
        <v>-2.5100000000000001E-2</v>
      </c>
      <c r="Q347" s="33">
        <v>-0.28420000000000001</v>
      </c>
      <c r="R347" s="34">
        <v>82224.2</v>
      </c>
      <c r="S347" s="34">
        <v>-972057000</v>
      </c>
      <c r="T347">
        <v>-0.39</v>
      </c>
      <c r="U347" s="33">
        <v>2.1999999999999999E-2</v>
      </c>
    </row>
    <row r="348" spans="1:21" x14ac:dyDescent="0.25">
      <c r="A348" t="s">
        <v>450</v>
      </c>
      <c r="B348">
        <v>67.8</v>
      </c>
      <c r="C348">
        <v>7.02</v>
      </c>
      <c r="D348">
        <v>1.64</v>
      </c>
      <c r="E348">
        <v>1.0609999999999999</v>
      </c>
      <c r="F348" s="33">
        <v>3.3099999999999997E-2</v>
      </c>
      <c r="G348">
        <v>0.98799999999999999</v>
      </c>
      <c r="H348">
        <v>2.81</v>
      </c>
      <c r="I348">
        <v>4.68</v>
      </c>
      <c r="J348">
        <v>5.89</v>
      </c>
      <c r="K348">
        <v>4.2300000000000004</v>
      </c>
      <c r="L348">
        <v>3.93</v>
      </c>
      <c r="M348" s="33">
        <v>0.2268</v>
      </c>
      <c r="N348" s="33">
        <v>0.15110000000000001</v>
      </c>
      <c r="O348">
        <v>2.65</v>
      </c>
      <c r="P348" s="33">
        <v>0.2596</v>
      </c>
      <c r="Q348" s="33">
        <v>0.2336</v>
      </c>
      <c r="R348" s="34">
        <v>109996</v>
      </c>
      <c r="S348" s="34">
        <v>250923000</v>
      </c>
      <c r="T348">
        <v>0.06</v>
      </c>
      <c r="U348" s="33">
        <v>0.1169</v>
      </c>
    </row>
    <row r="349" spans="1:21" x14ac:dyDescent="0.25">
      <c r="A349" t="s">
        <v>451</v>
      </c>
      <c r="B349">
        <v>28.94</v>
      </c>
      <c r="C349">
        <v>7.84</v>
      </c>
      <c r="D349">
        <v>1.21</v>
      </c>
      <c r="E349">
        <v>0</v>
      </c>
      <c r="F349" s="33">
        <v>5.5599999999999997E-2</v>
      </c>
      <c r="G349">
        <v>0</v>
      </c>
      <c r="H349">
        <v>0</v>
      </c>
      <c r="I349">
        <v>0</v>
      </c>
      <c r="J349">
        <v>0</v>
      </c>
      <c r="K349">
        <v>0</v>
      </c>
      <c r="L349">
        <v>0</v>
      </c>
      <c r="M349" s="33">
        <v>0</v>
      </c>
      <c r="N349" s="33">
        <v>0</v>
      </c>
      <c r="O349">
        <v>0</v>
      </c>
      <c r="P349" s="33">
        <v>0</v>
      </c>
      <c r="Q349" s="33">
        <v>0.15379999999999999</v>
      </c>
      <c r="R349" s="34">
        <v>73752500</v>
      </c>
      <c r="S349" s="34">
        <v>90014800000</v>
      </c>
      <c r="T349">
        <v>0</v>
      </c>
      <c r="U349" s="33">
        <v>-8.0100000000000005E-2</v>
      </c>
    </row>
    <row r="350" spans="1:21" x14ac:dyDescent="0.25">
      <c r="A350" t="s">
        <v>30</v>
      </c>
      <c r="B350">
        <v>13.59</v>
      </c>
      <c r="C350">
        <v>7.36</v>
      </c>
      <c r="D350">
        <v>1.1299999999999999</v>
      </c>
      <c r="E350">
        <v>0</v>
      </c>
      <c r="F350" s="33">
        <v>5.6399999999999999E-2</v>
      </c>
      <c r="G350">
        <v>0</v>
      </c>
      <c r="H350">
        <v>0</v>
      </c>
      <c r="I350">
        <v>0</v>
      </c>
      <c r="J350">
        <v>0</v>
      </c>
      <c r="K350">
        <v>0</v>
      </c>
      <c r="L350">
        <v>0</v>
      </c>
      <c r="M350" s="33">
        <v>0</v>
      </c>
      <c r="N350" s="33">
        <v>0</v>
      </c>
      <c r="O350">
        <v>0</v>
      </c>
      <c r="P350" s="33">
        <v>0</v>
      </c>
      <c r="Q350" s="33">
        <v>0.15379999999999999</v>
      </c>
      <c r="R350" s="34">
        <v>1281140</v>
      </c>
      <c r="S350" s="34">
        <v>90014800000</v>
      </c>
      <c r="T350">
        <v>0</v>
      </c>
      <c r="U350" s="33">
        <v>-8.0100000000000005E-2</v>
      </c>
    </row>
    <row r="351" spans="1:21" x14ac:dyDescent="0.25">
      <c r="A351" t="s">
        <v>12</v>
      </c>
      <c r="B351">
        <v>15.14</v>
      </c>
      <c r="C351">
        <v>8.1999999999999993</v>
      </c>
      <c r="D351">
        <v>1.26</v>
      </c>
      <c r="E351">
        <v>0</v>
      </c>
      <c r="F351" s="33">
        <v>5.57E-2</v>
      </c>
      <c r="G351">
        <v>0</v>
      </c>
      <c r="H351">
        <v>0</v>
      </c>
      <c r="I351">
        <v>0</v>
      </c>
      <c r="J351">
        <v>0</v>
      </c>
      <c r="K351">
        <v>0</v>
      </c>
      <c r="L351">
        <v>0</v>
      </c>
      <c r="M351" s="33">
        <v>0</v>
      </c>
      <c r="N351" s="33">
        <v>0</v>
      </c>
      <c r="O351">
        <v>0</v>
      </c>
      <c r="P351" s="33">
        <v>0</v>
      </c>
      <c r="Q351" s="33">
        <v>0.15379999999999999</v>
      </c>
      <c r="R351" s="34">
        <v>1489220</v>
      </c>
      <c r="S351" s="34">
        <v>90014800000</v>
      </c>
      <c r="T351">
        <v>0</v>
      </c>
      <c r="U351" s="33">
        <v>-8.0100000000000005E-2</v>
      </c>
    </row>
    <row r="352" spans="1:21" x14ac:dyDescent="0.25">
      <c r="A352" t="s">
        <v>452</v>
      </c>
      <c r="B352">
        <v>33.07</v>
      </c>
      <c r="C352">
        <v>4.21</v>
      </c>
      <c r="D352">
        <v>0.83</v>
      </c>
      <c r="E352">
        <v>1.4370000000000001</v>
      </c>
      <c r="F352" s="33">
        <v>4.6899999999999997E-2</v>
      </c>
      <c r="G352">
        <v>0.40200000000000002</v>
      </c>
      <c r="H352">
        <v>9.24</v>
      </c>
      <c r="I352">
        <v>5.35</v>
      </c>
      <c r="J352">
        <v>-1.06</v>
      </c>
      <c r="K352">
        <v>7.89</v>
      </c>
      <c r="L352">
        <v>6.03</v>
      </c>
      <c r="M352" s="33">
        <v>0.26879999999999998</v>
      </c>
      <c r="N352" s="33">
        <v>0.34129999999999999</v>
      </c>
      <c r="O352">
        <v>1.47</v>
      </c>
      <c r="P352" s="33">
        <v>8.2299999999999998E-2</v>
      </c>
      <c r="Q352" s="33">
        <v>0.19719999999999999</v>
      </c>
      <c r="R352" s="34">
        <v>30852800</v>
      </c>
      <c r="S352" s="34">
        <v>12036700000</v>
      </c>
      <c r="T352">
        <v>0.55000000000000004</v>
      </c>
      <c r="U352" s="33">
        <v>9.9000000000000005E-2</v>
      </c>
    </row>
    <row r="353" spans="1:21" x14ac:dyDescent="0.25">
      <c r="A353" t="s">
        <v>35</v>
      </c>
      <c r="B353">
        <v>6.7</v>
      </c>
      <c r="C353">
        <v>4.2699999999999996</v>
      </c>
      <c r="D353">
        <v>0.84</v>
      </c>
      <c r="E353">
        <v>1.456</v>
      </c>
      <c r="F353" s="33">
        <v>4.2900000000000001E-2</v>
      </c>
      <c r="G353">
        <v>0.40699999999999997</v>
      </c>
      <c r="H353">
        <v>9.36</v>
      </c>
      <c r="I353">
        <v>5.41</v>
      </c>
      <c r="J353">
        <v>-1.07</v>
      </c>
      <c r="K353">
        <v>7.96</v>
      </c>
      <c r="L353">
        <v>6.08</v>
      </c>
      <c r="M353" s="33">
        <v>0.26879999999999998</v>
      </c>
      <c r="N353" s="33">
        <v>0.34129999999999999</v>
      </c>
      <c r="O353">
        <v>1.47</v>
      </c>
      <c r="P353" s="33">
        <v>8.2299999999999998E-2</v>
      </c>
      <c r="Q353" s="33">
        <v>0.19719999999999999</v>
      </c>
      <c r="R353" s="34">
        <v>1081550</v>
      </c>
      <c r="S353" s="34">
        <v>12036700000</v>
      </c>
      <c r="T353">
        <v>0.55000000000000004</v>
      </c>
      <c r="U353" s="33">
        <v>9.9000000000000005E-2</v>
      </c>
    </row>
    <row r="354" spans="1:21" x14ac:dyDescent="0.25">
      <c r="A354" t="s">
        <v>86</v>
      </c>
      <c r="B354">
        <v>6.58</v>
      </c>
      <c r="C354">
        <v>4.1900000000000004</v>
      </c>
      <c r="D354">
        <v>0.83</v>
      </c>
      <c r="E354">
        <v>1.43</v>
      </c>
      <c r="F354" s="33">
        <v>4.8000000000000001E-2</v>
      </c>
      <c r="G354">
        <v>0.4</v>
      </c>
      <c r="H354">
        <v>9.19</v>
      </c>
      <c r="I354">
        <v>5.32</v>
      </c>
      <c r="J354">
        <v>-1.05</v>
      </c>
      <c r="K354">
        <v>7.86</v>
      </c>
      <c r="L354">
        <v>6.01</v>
      </c>
      <c r="M354" s="33">
        <v>0.26879999999999998</v>
      </c>
      <c r="N354" s="33">
        <v>0.34129999999999999</v>
      </c>
      <c r="O354">
        <v>1.47</v>
      </c>
      <c r="P354" s="33">
        <v>8.2299999999999998E-2</v>
      </c>
      <c r="Q354" s="33">
        <v>0.19719999999999999</v>
      </c>
      <c r="R354" s="34">
        <v>7795720</v>
      </c>
      <c r="S354" s="34">
        <v>12036700000</v>
      </c>
      <c r="T354">
        <v>0.55000000000000004</v>
      </c>
      <c r="U354" s="33">
        <v>9.9000000000000005E-2</v>
      </c>
    </row>
    <row r="355" spans="1:21" x14ac:dyDescent="0.25">
      <c r="A355" t="s">
        <v>200</v>
      </c>
      <c r="B355">
        <v>11.8</v>
      </c>
      <c r="C355">
        <v>5.09</v>
      </c>
      <c r="D355">
        <v>0.99</v>
      </c>
      <c r="E355">
        <v>0.39900000000000002</v>
      </c>
      <c r="F355" s="33">
        <v>4.65E-2</v>
      </c>
      <c r="G355">
        <v>0.34100000000000003</v>
      </c>
      <c r="H355">
        <v>2.0299999999999998</v>
      </c>
      <c r="I355">
        <v>4.88</v>
      </c>
      <c r="J355">
        <v>-2.35</v>
      </c>
      <c r="K355">
        <v>7.99</v>
      </c>
      <c r="L355">
        <v>4.63</v>
      </c>
      <c r="M355" s="33">
        <v>8.1799999999999998E-2</v>
      </c>
      <c r="N355" s="33">
        <v>7.8399999999999997E-2</v>
      </c>
      <c r="O355">
        <v>1.49</v>
      </c>
      <c r="P355" s="33">
        <v>8.8300000000000003E-2</v>
      </c>
      <c r="Q355" s="33">
        <v>0.1946</v>
      </c>
      <c r="R355" s="34">
        <v>16313700</v>
      </c>
      <c r="S355" s="34">
        <v>2907110000</v>
      </c>
      <c r="T355">
        <v>0.91</v>
      </c>
      <c r="U355" s="33">
        <v>0.24249999999999999</v>
      </c>
    </row>
    <row r="356" spans="1:21" x14ac:dyDescent="0.25">
      <c r="A356" t="s">
        <v>104</v>
      </c>
      <c r="B356">
        <v>115.06</v>
      </c>
      <c r="C356">
        <v>7.68</v>
      </c>
      <c r="D356">
        <v>2.0499999999999998</v>
      </c>
      <c r="E356">
        <v>2.069</v>
      </c>
      <c r="F356" s="33">
        <v>3.2399999999999998E-2</v>
      </c>
      <c r="G356">
        <v>0.91800000000000004</v>
      </c>
      <c r="H356">
        <v>72.180000000000007</v>
      </c>
      <c r="I356">
        <v>4.6500000000000004</v>
      </c>
      <c r="J356">
        <v>-2.33</v>
      </c>
      <c r="K356">
        <v>5.8</v>
      </c>
      <c r="L356">
        <v>5.0599999999999996</v>
      </c>
      <c r="M356" s="33">
        <v>0.44519999999999998</v>
      </c>
      <c r="N356" s="33">
        <v>0.26939999999999997</v>
      </c>
      <c r="O356">
        <v>1.0900000000000001</v>
      </c>
      <c r="P356" s="33">
        <v>0.2213</v>
      </c>
      <c r="Q356" s="33">
        <v>0.2666</v>
      </c>
      <c r="R356" s="34">
        <v>411440000</v>
      </c>
      <c r="S356" s="34">
        <v>38397900000</v>
      </c>
      <c r="T356">
        <v>0.72</v>
      </c>
      <c r="U356" s="33">
        <v>0.1903</v>
      </c>
    </row>
    <row r="357" spans="1:21" x14ac:dyDescent="0.25">
      <c r="A357" t="s">
        <v>161</v>
      </c>
      <c r="B357">
        <v>16.86</v>
      </c>
      <c r="C357">
        <v>-33.79</v>
      </c>
      <c r="D357">
        <v>0.63</v>
      </c>
      <c r="E357">
        <v>2.1190000000000002</v>
      </c>
      <c r="F357" s="33">
        <v>0.10349999999999999</v>
      </c>
      <c r="G357">
        <v>0.35299999999999998</v>
      </c>
      <c r="H357">
        <v>1.88</v>
      </c>
      <c r="I357">
        <v>8.18</v>
      </c>
      <c r="J357">
        <v>-1.88</v>
      </c>
      <c r="K357">
        <v>16.48</v>
      </c>
      <c r="L357">
        <v>11.3</v>
      </c>
      <c r="M357" s="33">
        <v>0.25919999999999999</v>
      </c>
      <c r="N357" s="33">
        <v>-6.1699999999999998E-2</v>
      </c>
      <c r="O357">
        <v>3.95</v>
      </c>
      <c r="P357" s="33">
        <v>4.6100000000000002E-2</v>
      </c>
      <c r="Q357" s="33">
        <v>-1.8800000000000001E-2</v>
      </c>
      <c r="R357" s="34">
        <v>626877</v>
      </c>
      <c r="S357" s="34">
        <v>1533970000</v>
      </c>
      <c r="T357">
        <v>0.76</v>
      </c>
      <c r="U357" s="33">
        <v>0.23250000000000001</v>
      </c>
    </row>
    <row r="358" spans="1:21" x14ac:dyDescent="0.25">
      <c r="A358" t="s">
        <v>198</v>
      </c>
      <c r="B358">
        <v>9.8000000000000007</v>
      </c>
      <c r="C358">
        <v>21.03</v>
      </c>
      <c r="D358">
        <v>1.01</v>
      </c>
      <c r="E358">
        <v>0.60899999999999999</v>
      </c>
      <c r="F358" s="33">
        <v>1.5699999999999999E-2</v>
      </c>
      <c r="G358">
        <v>0.37</v>
      </c>
      <c r="H358">
        <v>6.41</v>
      </c>
      <c r="I358">
        <v>3.44</v>
      </c>
      <c r="J358">
        <v>-1.04</v>
      </c>
      <c r="K358">
        <v>5.05</v>
      </c>
      <c r="L358">
        <v>3.15</v>
      </c>
      <c r="M358" s="33">
        <v>0.17699999999999999</v>
      </c>
      <c r="N358" s="33">
        <v>2.9000000000000001E-2</v>
      </c>
      <c r="O358">
        <v>1.26</v>
      </c>
      <c r="P358" s="33">
        <v>0.12</v>
      </c>
      <c r="Q358" s="33">
        <v>4.7899999999999998E-2</v>
      </c>
      <c r="R358" s="34">
        <v>8778360</v>
      </c>
      <c r="S358" s="34">
        <v>1251870000</v>
      </c>
      <c r="T358">
        <v>0.72</v>
      </c>
      <c r="U358" s="33">
        <v>0.1318</v>
      </c>
    </row>
    <row r="359" spans="1:21" x14ac:dyDescent="0.25">
      <c r="A359" t="s">
        <v>242</v>
      </c>
      <c r="B359">
        <v>1.7</v>
      </c>
      <c r="C359">
        <v>-0.09</v>
      </c>
      <c r="D359">
        <v>0.27</v>
      </c>
      <c r="E359">
        <v>0.11799999999999999</v>
      </c>
      <c r="F359" s="33">
        <v>0</v>
      </c>
      <c r="G359">
        <v>4.2999999999999997E-2</v>
      </c>
      <c r="H359">
        <v>-0.14000000000000001</v>
      </c>
      <c r="I359">
        <v>-0.13</v>
      </c>
      <c r="J359">
        <v>-7.0000000000000007E-2</v>
      </c>
      <c r="K359">
        <v>-0.96</v>
      </c>
      <c r="L359">
        <v>-1.24</v>
      </c>
      <c r="M359" s="33">
        <v>-0.9355</v>
      </c>
      <c r="N359" s="33">
        <v>-1.2425999999999999</v>
      </c>
      <c r="O359">
        <v>0.37</v>
      </c>
      <c r="P359" s="33">
        <v>-0.42859999999999998</v>
      </c>
      <c r="Q359" s="33">
        <v>-2.8281999999999998</v>
      </c>
      <c r="R359" s="34">
        <v>569134</v>
      </c>
      <c r="S359" s="34">
        <v>306696000</v>
      </c>
      <c r="T359">
        <v>1.84</v>
      </c>
      <c r="U359" s="33">
        <v>-0.23669999999999999</v>
      </c>
    </row>
    <row r="360" spans="1:21" x14ac:dyDescent="0.25">
      <c r="A360" t="s">
        <v>248</v>
      </c>
      <c r="B360">
        <v>6.57</v>
      </c>
      <c r="C360">
        <v>-0.56999999999999995</v>
      </c>
      <c r="D360">
        <v>0.34</v>
      </c>
      <c r="E360">
        <v>0.28799999999999998</v>
      </c>
      <c r="F360" s="33">
        <v>0</v>
      </c>
      <c r="G360">
        <v>0.111</v>
      </c>
      <c r="H360">
        <v>0.71</v>
      </c>
      <c r="I360">
        <v>-2.02</v>
      </c>
      <c r="J360">
        <v>-1.1399999999999999</v>
      </c>
      <c r="K360">
        <v>-0.7</v>
      </c>
      <c r="L360">
        <v>-0.95</v>
      </c>
      <c r="M360" s="33">
        <v>-0.14249999999999999</v>
      </c>
      <c r="N360" s="33">
        <v>-0.49930000000000002</v>
      </c>
      <c r="O360">
        <v>1.37</v>
      </c>
      <c r="P360" s="33">
        <v>-0.1043</v>
      </c>
      <c r="Q360" s="33">
        <v>-0.60680000000000001</v>
      </c>
      <c r="R360" s="34">
        <v>182821</v>
      </c>
      <c r="S360" s="34">
        <v>128542000</v>
      </c>
      <c r="T360">
        <v>0.53</v>
      </c>
      <c r="U360" s="33">
        <v>0.87719999999999998</v>
      </c>
    </row>
    <row r="361" spans="1:21" x14ac:dyDescent="0.25">
      <c r="A361" t="s">
        <v>17</v>
      </c>
      <c r="B361">
        <v>5.36</v>
      </c>
      <c r="C361">
        <v>7.19</v>
      </c>
      <c r="D361">
        <v>1.3</v>
      </c>
      <c r="E361">
        <v>0.96499999999999997</v>
      </c>
      <c r="F361" s="33">
        <v>7.7399999999999997E-2</v>
      </c>
      <c r="G361">
        <v>0.68500000000000005</v>
      </c>
      <c r="H361">
        <v>1.57</v>
      </c>
      <c r="I361">
        <v>9.9</v>
      </c>
      <c r="J361">
        <v>4.0599999999999996</v>
      </c>
      <c r="K361">
        <v>9.66</v>
      </c>
      <c r="L361">
        <v>7.1</v>
      </c>
      <c r="M361" s="33">
        <v>9.7500000000000003E-2</v>
      </c>
      <c r="N361" s="33">
        <v>0.13420000000000001</v>
      </c>
      <c r="O361">
        <v>3.1</v>
      </c>
      <c r="P361" s="33">
        <v>0.111</v>
      </c>
      <c r="Q361" s="33">
        <v>0.18149999999999999</v>
      </c>
      <c r="R361" s="34">
        <v>2831060</v>
      </c>
      <c r="S361" s="34">
        <v>1468260000</v>
      </c>
      <c r="T361">
        <v>0.56999999999999995</v>
      </c>
      <c r="U361" s="33">
        <v>0.1152</v>
      </c>
    </row>
    <row r="362" spans="1:21" x14ac:dyDescent="0.25">
      <c r="A362" t="s">
        <v>215</v>
      </c>
      <c r="B362">
        <v>5.24</v>
      </c>
      <c r="C362">
        <v>-19.38</v>
      </c>
      <c r="D362">
        <v>1.62</v>
      </c>
      <c r="E362">
        <v>0.108</v>
      </c>
      <c r="F362" s="33">
        <v>1.34E-2</v>
      </c>
      <c r="G362">
        <v>5.5E-2</v>
      </c>
      <c r="H362">
        <v>0.52</v>
      </c>
      <c r="I362">
        <v>0.63</v>
      </c>
      <c r="J362">
        <v>-0.09</v>
      </c>
      <c r="K362">
        <v>6.94</v>
      </c>
      <c r="L362">
        <v>4.4400000000000004</v>
      </c>
      <c r="M362" s="33">
        <v>0.1699</v>
      </c>
      <c r="N362" s="33">
        <v>4.0000000000000002E-4</v>
      </c>
      <c r="O362">
        <v>1.45</v>
      </c>
      <c r="P362" s="33">
        <v>0.1137</v>
      </c>
      <c r="Q362" s="33">
        <v>-8.3599999999999994E-2</v>
      </c>
      <c r="R362" s="34">
        <v>28271200</v>
      </c>
      <c r="S362" s="34">
        <v>2824120000</v>
      </c>
      <c r="T362">
        <v>20.98</v>
      </c>
      <c r="U362" s="33">
        <v>0.43680000000000002</v>
      </c>
    </row>
    <row r="363" spans="1:21" x14ac:dyDescent="0.25">
      <c r="A363" t="s">
        <v>10</v>
      </c>
      <c r="B363">
        <v>19</v>
      </c>
      <c r="C363">
        <v>11.27</v>
      </c>
      <c r="D363">
        <v>1.72</v>
      </c>
      <c r="E363">
        <v>0.97499999999999998</v>
      </c>
      <c r="F363" s="33">
        <v>2.8799999999999999E-2</v>
      </c>
      <c r="G363">
        <v>0.48199999999999998</v>
      </c>
      <c r="H363">
        <v>3.59</v>
      </c>
      <c r="I363">
        <v>4.45</v>
      </c>
      <c r="J363">
        <v>-1.81</v>
      </c>
      <c r="K363">
        <v>7.13</v>
      </c>
      <c r="L363">
        <v>6.1</v>
      </c>
      <c r="M363" s="33">
        <v>0.21879999999999999</v>
      </c>
      <c r="N363" s="33">
        <v>8.8300000000000003E-2</v>
      </c>
      <c r="O363">
        <v>1.44</v>
      </c>
      <c r="P363" s="33">
        <v>0.1231</v>
      </c>
      <c r="Q363" s="33">
        <v>0.15210000000000001</v>
      </c>
      <c r="R363" s="34">
        <v>50608200</v>
      </c>
      <c r="S363" s="34">
        <v>4911400000</v>
      </c>
      <c r="T363">
        <v>1.29</v>
      </c>
      <c r="U363" s="33">
        <v>0.13589999999999999</v>
      </c>
    </row>
    <row r="364" spans="1:21" x14ac:dyDescent="0.25">
      <c r="A364" t="s">
        <v>50</v>
      </c>
      <c r="B364">
        <v>24.9</v>
      </c>
      <c r="C364">
        <v>32.07</v>
      </c>
      <c r="D364">
        <v>2.69</v>
      </c>
      <c r="E364">
        <v>2.4790000000000001</v>
      </c>
      <c r="F364" s="33">
        <v>2.3400000000000001E-2</v>
      </c>
      <c r="G364">
        <v>0.81499999999999995</v>
      </c>
      <c r="H364">
        <v>10.28</v>
      </c>
      <c r="I364">
        <v>10.74</v>
      </c>
      <c r="J364">
        <v>-1.74</v>
      </c>
      <c r="K364">
        <v>12.9</v>
      </c>
      <c r="L364">
        <v>6.2</v>
      </c>
      <c r="M364" s="33">
        <v>0.23089999999999999</v>
      </c>
      <c r="N364" s="33">
        <v>7.7899999999999997E-2</v>
      </c>
      <c r="O364">
        <v>1.53</v>
      </c>
      <c r="P364" s="33">
        <v>9.3399999999999997E-2</v>
      </c>
      <c r="Q364" s="33">
        <v>8.3900000000000002E-2</v>
      </c>
      <c r="R364" s="34">
        <v>188947000</v>
      </c>
      <c r="S364" s="34">
        <v>5527220000</v>
      </c>
      <c r="T364">
        <v>1.08</v>
      </c>
      <c r="U364" s="33">
        <v>0.54820000000000002</v>
      </c>
    </row>
    <row r="365" spans="1:21" x14ac:dyDescent="0.25">
      <c r="A365" t="s">
        <v>202</v>
      </c>
      <c r="B365">
        <v>19.87</v>
      </c>
      <c r="C365">
        <v>6.12</v>
      </c>
      <c r="D365">
        <v>1.01</v>
      </c>
      <c r="E365">
        <v>0.84199999999999997</v>
      </c>
      <c r="F365" s="33">
        <v>6.9699999999999998E-2</v>
      </c>
      <c r="G365">
        <v>0.29599999999999999</v>
      </c>
      <c r="H365">
        <v>1.56</v>
      </c>
      <c r="I365">
        <v>5.66</v>
      </c>
      <c r="J365">
        <v>-0.8</v>
      </c>
      <c r="K365">
        <v>12.59</v>
      </c>
      <c r="L365">
        <v>3.88</v>
      </c>
      <c r="M365" s="33">
        <v>0.14860000000000001</v>
      </c>
      <c r="N365" s="33">
        <v>0.13750000000000001</v>
      </c>
      <c r="O365">
        <v>2.27</v>
      </c>
      <c r="P365" s="33">
        <v>6.2799999999999995E-2</v>
      </c>
      <c r="Q365" s="33">
        <v>0.1656</v>
      </c>
      <c r="R365" s="34">
        <v>32599600</v>
      </c>
      <c r="S365" s="34">
        <v>6516220000</v>
      </c>
      <c r="T365">
        <v>1.74</v>
      </c>
      <c r="U365" s="33">
        <v>0.1454</v>
      </c>
    </row>
    <row r="366" spans="1:21" x14ac:dyDescent="0.25">
      <c r="A366" t="s">
        <v>175</v>
      </c>
      <c r="B366">
        <v>4.4400000000000004</v>
      </c>
      <c r="C366">
        <v>-0.82</v>
      </c>
      <c r="D366">
        <v>-0.02</v>
      </c>
      <c r="E366">
        <v>3.5999999999999997E-2</v>
      </c>
      <c r="F366" s="33">
        <v>0</v>
      </c>
      <c r="G366">
        <v>5.8999999999999997E-2</v>
      </c>
      <c r="H366">
        <v>-0.52</v>
      </c>
      <c r="I366">
        <v>1.55</v>
      </c>
      <c r="J366">
        <v>-0.02</v>
      </c>
      <c r="K366">
        <v>11.05</v>
      </c>
      <c r="L366">
        <v>6.08</v>
      </c>
      <c r="M366" s="33">
        <v>2.29E-2</v>
      </c>
      <c r="N366" s="33">
        <v>-4.1700000000000001E-2</v>
      </c>
      <c r="O366">
        <v>0.84</v>
      </c>
      <c r="P366" s="33">
        <v>4.4299999999999999E-2</v>
      </c>
      <c r="Q366" s="33">
        <v>2.0500000000000001E-2</v>
      </c>
      <c r="R366" s="34">
        <v>25605.4</v>
      </c>
      <c r="S366" s="34">
        <v>-2025590000</v>
      </c>
      <c r="T366">
        <v>-0.11</v>
      </c>
      <c r="U366" s="33">
        <v>0.1275</v>
      </c>
    </row>
    <row r="367" spans="1:21" x14ac:dyDescent="0.25">
      <c r="A367" t="s">
        <v>105</v>
      </c>
      <c r="B367">
        <v>11.46</v>
      </c>
      <c r="C367">
        <v>15.5</v>
      </c>
      <c r="D367">
        <v>1.1499999999999999</v>
      </c>
      <c r="E367">
        <v>0.81499999999999995</v>
      </c>
      <c r="F367" s="33">
        <v>2.5899999999999999E-2</v>
      </c>
      <c r="G367">
        <v>0.44600000000000001</v>
      </c>
      <c r="H367">
        <v>0.87</v>
      </c>
      <c r="I367">
        <v>10.199999999999999</v>
      </c>
      <c r="J367">
        <v>1.54</v>
      </c>
      <c r="K367">
        <v>9.92</v>
      </c>
      <c r="L367">
        <v>8.1</v>
      </c>
      <c r="M367" s="33">
        <v>7.9899999999999999E-2</v>
      </c>
      <c r="N367" s="33">
        <v>8.8900000000000007E-2</v>
      </c>
      <c r="O367">
        <v>3.46</v>
      </c>
      <c r="P367" s="33">
        <v>7.3999999999999996E-2</v>
      </c>
      <c r="Q367" s="33">
        <v>7.4200000000000002E-2</v>
      </c>
      <c r="R367" s="34">
        <v>10058300</v>
      </c>
      <c r="S367" s="34">
        <v>1347510000</v>
      </c>
      <c r="T367">
        <v>0.63</v>
      </c>
      <c r="U367" s="33">
        <v>0.33839999999999998</v>
      </c>
    </row>
    <row r="368" spans="1:21" x14ac:dyDescent="0.25">
      <c r="A368" t="s">
        <v>453</v>
      </c>
      <c r="B368">
        <v>36.729999999999997</v>
      </c>
      <c r="C368">
        <v>3.79</v>
      </c>
      <c r="D368">
        <v>1.26</v>
      </c>
      <c r="E368">
        <v>0.437</v>
      </c>
      <c r="F368" s="33">
        <v>0.17080000000000001</v>
      </c>
      <c r="G368">
        <v>0.76900000000000002</v>
      </c>
      <c r="H368">
        <v>2.66</v>
      </c>
      <c r="I368">
        <v>2.79</v>
      </c>
      <c r="J368">
        <v>4.51</v>
      </c>
      <c r="K368">
        <v>1.83</v>
      </c>
      <c r="L368">
        <v>1.56</v>
      </c>
      <c r="M368" s="33">
        <v>0.15659999999999999</v>
      </c>
      <c r="N368" s="33">
        <v>0.1162</v>
      </c>
      <c r="O368">
        <v>2.0699999999999998</v>
      </c>
      <c r="P368" s="33">
        <v>0.38729999999999998</v>
      </c>
      <c r="Q368" s="33">
        <v>0.3327</v>
      </c>
      <c r="R368" s="34">
        <v>408.85</v>
      </c>
      <c r="S368" s="34">
        <v>71604000</v>
      </c>
      <c r="T368">
        <v>0</v>
      </c>
      <c r="U368" s="33">
        <v>0.33150000000000002</v>
      </c>
    </row>
    <row r="369" spans="1:21" x14ac:dyDescent="0.25">
      <c r="A369" t="s">
        <v>454</v>
      </c>
      <c r="B369">
        <v>43.02</v>
      </c>
      <c r="C369">
        <v>4.4400000000000004</v>
      </c>
      <c r="D369">
        <v>1.48</v>
      </c>
      <c r="E369">
        <v>0.51200000000000001</v>
      </c>
      <c r="F369" s="33">
        <v>0.14580000000000001</v>
      </c>
      <c r="G369">
        <v>0.90100000000000002</v>
      </c>
      <c r="H369">
        <v>3.11</v>
      </c>
      <c r="I369">
        <v>3.27</v>
      </c>
      <c r="J369">
        <v>5.28</v>
      </c>
      <c r="K369">
        <v>2.31</v>
      </c>
      <c r="L369">
        <v>1.97</v>
      </c>
      <c r="M369" s="33">
        <v>0.15659999999999999</v>
      </c>
      <c r="N369" s="33">
        <v>0.1162</v>
      </c>
      <c r="O369">
        <v>2.0699999999999998</v>
      </c>
      <c r="P369" s="33">
        <v>0.38729999999999998</v>
      </c>
      <c r="Q369" s="33">
        <v>0.3327</v>
      </c>
      <c r="R369" s="34">
        <v>1363.46</v>
      </c>
      <c r="S369" s="34">
        <v>71604000</v>
      </c>
      <c r="T369">
        <v>0</v>
      </c>
      <c r="U369" s="33">
        <v>0.33150000000000002</v>
      </c>
    </row>
    <row r="370" spans="1:21" x14ac:dyDescent="0.25">
      <c r="A370" t="s">
        <v>455</v>
      </c>
      <c r="B370">
        <v>11.48</v>
      </c>
      <c r="C370" s="34">
        <v>1166.42</v>
      </c>
      <c r="D370">
        <v>1.31</v>
      </c>
      <c r="E370">
        <v>1.556</v>
      </c>
      <c r="F370" s="33">
        <v>0</v>
      </c>
      <c r="G370">
        <v>0.34599999999999997</v>
      </c>
      <c r="H370">
        <v>15.12</v>
      </c>
      <c r="I370">
        <v>6.07</v>
      </c>
      <c r="J370">
        <v>-0.61</v>
      </c>
      <c r="K370">
        <v>15.2</v>
      </c>
      <c r="L370">
        <v>9.07</v>
      </c>
      <c r="M370" s="33">
        <v>0.25619999999999998</v>
      </c>
      <c r="N370" s="33">
        <v>1.4E-3</v>
      </c>
      <c r="O370">
        <v>1.1599999999999999</v>
      </c>
      <c r="P370" s="33">
        <v>6.1699999999999998E-2</v>
      </c>
      <c r="Q370" s="33">
        <v>1.1000000000000001E-3</v>
      </c>
      <c r="R370" s="34">
        <v>89689600</v>
      </c>
      <c r="S370" s="34">
        <v>5443630000</v>
      </c>
      <c r="T370">
        <v>2.2000000000000002</v>
      </c>
      <c r="U370" s="33">
        <v>0.35930000000000001</v>
      </c>
    </row>
    <row r="371" spans="1:21" x14ac:dyDescent="0.25">
      <c r="A371" t="s">
        <v>63</v>
      </c>
      <c r="B371">
        <v>13.72</v>
      </c>
      <c r="C371">
        <v>14.96</v>
      </c>
      <c r="D371">
        <v>19.510000000000002</v>
      </c>
      <c r="E371">
        <v>3.774</v>
      </c>
      <c r="F371" s="33">
        <v>0.18970000000000001</v>
      </c>
      <c r="G371">
        <v>2.238</v>
      </c>
      <c r="H371" s="34">
        <v>2020.86</v>
      </c>
      <c r="I371">
        <v>8.75</v>
      </c>
      <c r="J371">
        <v>-3.09</v>
      </c>
      <c r="K371">
        <v>10.41</v>
      </c>
      <c r="L371">
        <v>8.69</v>
      </c>
      <c r="M371" s="33">
        <v>0.43120000000000003</v>
      </c>
      <c r="N371" s="33">
        <v>0.25230000000000002</v>
      </c>
      <c r="O371">
        <v>1.01</v>
      </c>
      <c r="P371" s="33">
        <v>0.28449999999999998</v>
      </c>
      <c r="Q371" s="33">
        <v>1.3043</v>
      </c>
      <c r="R371" s="34">
        <v>70455900</v>
      </c>
      <c r="S371" s="34">
        <v>607731000</v>
      </c>
      <c r="T371">
        <v>4.32</v>
      </c>
      <c r="U371" s="33">
        <v>0.29670000000000002</v>
      </c>
    </row>
    <row r="372" spans="1:21" x14ac:dyDescent="0.25">
      <c r="A372" t="s">
        <v>91</v>
      </c>
      <c r="B372">
        <v>52.9</v>
      </c>
      <c r="C372" s="34">
        <v>-70.14</v>
      </c>
      <c r="D372">
        <v>1.74</v>
      </c>
      <c r="E372">
        <v>1.351</v>
      </c>
      <c r="F372" s="33">
        <v>3.8100000000000002E-2</v>
      </c>
      <c r="G372">
        <v>0.43099999999999999</v>
      </c>
      <c r="H372">
        <v>3.14</v>
      </c>
      <c r="I372">
        <v>4.7</v>
      </c>
      <c r="J372">
        <v>-0.81</v>
      </c>
      <c r="K372">
        <v>9.94</v>
      </c>
      <c r="L372">
        <v>5.9</v>
      </c>
      <c r="M372" s="33">
        <v>0.28760000000000002</v>
      </c>
      <c r="N372" s="33">
        <v>-1.8499999999999999E-2</v>
      </c>
      <c r="O372">
        <v>2.61</v>
      </c>
      <c r="P372" s="33">
        <v>0.1069</v>
      </c>
      <c r="Q372" s="33">
        <v>-2.4799999999999999E-2</v>
      </c>
      <c r="R372" s="34">
        <v>348623000</v>
      </c>
      <c r="S372" s="34">
        <v>38398300000</v>
      </c>
      <c r="T372">
        <v>2.37</v>
      </c>
      <c r="U372" s="33">
        <v>7.8100000000000003E-2</v>
      </c>
    </row>
    <row r="373" spans="1:21" x14ac:dyDescent="0.25">
      <c r="A373" t="s">
        <v>234</v>
      </c>
      <c r="B373">
        <v>5.56</v>
      </c>
      <c r="C373">
        <v>1.52</v>
      </c>
      <c r="D373">
        <v>0.78</v>
      </c>
      <c r="E373">
        <v>0.63900000000000001</v>
      </c>
      <c r="F373" s="33">
        <v>1.2607999999999999</v>
      </c>
      <c r="G373">
        <v>0.26800000000000002</v>
      </c>
      <c r="H373" s="34">
        <v>0.87</v>
      </c>
      <c r="I373">
        <v>1.81</v>
      </c>
      <c r="J373">
        <v>-7.12</v>
      </c>
      <c r="K373">
        <v>2.66</v>
      </c>
      <c r="L373">
        <v>2.2799999999999998</v>
      </c>
      <c r="M373" s="33">
        <v>0.3533</v>
      </c>
      <c r="N373" s="33">
        <v>0.50480000000000003</v>
      </c>
      <c r="O373">
        <v>5.43</v>
      </c>
      <c r="P373" s="33">
        <v>0.1726</v>
      </c>
      <c r="Q373" s="33">
        <v>0.51129999999999998</v>
      </c>
      <c r="R373" s="34">
        <v>2772650</v>
      </c>
      <c r="S373" s="34">
        <v>1091940000</v>
      </c>
      <c r="T373">
        <v>0.77</v>
      </c>
      <c r="U373" s="33">
        <v>3.9E-2</v>
      </c>
    </row>
    <row r="374" spans="1:21" x14ac:dyDescent="0.25">
      <c r="A374" t="s">
        <v>456</v>
      </c>
      <c r="B374">
        <v>34.4</v>
      </c>
      <c r="C374">
        <v>7.03</v>
      </c>
      <c r="D374">
        <v>1.62</v>
      </c>
      <c r="E374">
        <v>2.9849999999999999</v>
      </c>
      <c r="F374" s="33">
        <v>7.9600000000000004E-2</v>
      </c>
      <c r="G374">
        <v>0.56399999999999995</v>
      </c>
      <c r="H374">
        <v>8.25</v>
      </c>
      <c r="I374">
        <v>5.28</v>
      </c>
      <c r="J374">
        <v>-1.1200000000000001</v>
      </c>
      <c r="K374">
        <v>9.5</v>
      </c>
      <c r="L374">
        <v>9.3800000000000008</v>
      </c>
      <c r="M374" s="33">
        <v>0.56499999999999995</v>
      </c>
      <c r="N374" s="33">
        <v>0.42449999999999999</v>
      </c>
      <c r="O374">
        <v>1.85</v>
      </c>
      <c r="P374" s="33">
        <v>0.1118</v>
      </c>
      <c r="Q374" s="33">
        <v>0.23089999999999999</v>
      </c>
      <c r="R374" s="34">
        <v>66294700</v>
      </c>
      <c r="S374" s="34">
        <v>7297940000</v>
      </c>
      <c r="T374">
        <v>1.41</v>
      </c>
      <c r="U374" s="33">
        <v>1.11E-2</v>
      </c>
    </row>
    <row r="375" spans="1:21" x14ac:dyDescent="0.25">
      <c r="A375" t="s">
        <v>267</v>
      </c>
      <c r="B375">
        <v>11.43</v>
      </c>
      <c r="C375">
        <v>7.01</v>
      </c>
      <c r="D375">
        <v>1.62</v>
      </c>
      <c r="E375">
        <v>2.976</v>
      </c>
      <c r="F375" s="33">
        <v>7.9899999999999999E-2</v>
      </c>
      <c r="G375">
        <v>0.56200000000000006</v>
      </c>
      <c r="H375">
        <v>8.23</v>
      </c>
      <c r="I375">
        <v>5.27</v>
      </c>
      <c r="J375">
        <v>-1.1100000000000001</v>
      </c>
      <c r="K375">
        <v>9.48</v>
      </c>
      <c r="L375">
        <v>9.36</v>
      </c>
      <c r="M375" s="33">
        <v>0.56499999999999995</v>
      </c>
      <c r="N375" s="33">
        <v>0.42449999999999999</v>
      </c>
      <c r="O375">
        <v>1.85</v>
      </c>
      <c r="P375" s="33">
        <v>0.1118</v>
      </c>
      <c r="Q375" s="33">
        <v>0.23089999999999999</v>
      </c>
      <c r="R375" s="34">
        <v>947756</v>
      </c>
      <c r="S375" s="34">
        <v>7297940000</v>
      </c>
      <c r="T375">
        <v>1.41</v>
      </c>
      <c r="U375" s="33">
        <v>1.11E-2</v>
      </c>
    </row>
    <row r="376" spans="1:21" x14ac:dyDescent="0.25">
      <c r="A376" t="s">
        <v>53</v>
      </c>
      <c r="B376">
        <v>11.52</v>
      </c>
      <c r="C376">
        <v>7.07</v>
      </c>
      <c r="D376">
        <v>1.63</v>
      </c>
      <c r="E376">
        <v>2.9990000000000001</v>
      </c>
      <c r="F376" s="33">
        <v>7.9200000000000007E-2</v>
      </c>
      <c r="G376">
        <v>0.56599999999999995</v>
      </c>
      <c r="H376">
        <v>8.2899999999999991</v>
      </c>
      <c r="I376">
        <v>5.31</v>
      </c>
      <c r="J376">
        <v>-1.1200000000000001</v>
      </c>
      <c r="K376">
        <v>9.52</v>
      </c>
      <c r="L376">
        <v>9.4</v>
      </c>
      <c r="M376" s="33">
        <v>0.56499999999999995</v>
      </c>
      <c r="N376" s="33">
        <v>0.42449999999999999</v>
      </c>
      <c r="O376">
        <v>1.85</v>
      </c>
      <c r="P376" s="33">
        <v>0.1118</v>
      </c>
      <c r="Q376" s="33">
        <v>0.23089999999999999</v>
      </c>
      <c r="R376" s="34">
        <v>2009400</v>
      </c>
      <c r="S376" s="34">
        <v>7297940000</v>
      </c>
      <c r="T376">
        <v>1.41</v>
      </c>
      <c r="U376" s="33">
        <v>1.11E-2</v>
      </c>
    </row>
    <row r="377" spans="1:21" x14ac:dyDescent="0.25">
      <c r="A377" t="s">
        <v>199</v>
      </c>
      <c r="B377">
        <v>7.76</v>
      </c>
      <c r="C377">
        <v>14.17</v>
      </c>
      <c r="D377">
        <v>0.85</v>
      </c>
      <c r="E377">
        <v>0.68700000000000006</v>
      </c>
      <c r="F377" s="33">
        <v>2.3699999999999999E-2</v>
      </c>
      <c r="G377">
        <v>0.42599999999999999</v>
      </c>
      <c r="H377">
        <v>1.79</v>
      </c>
      <c r="I377">
        <v>10.39</v>
      </c>
      <c r="J377">
        <v>5.57</v>
      </c>
      <c r="K377">
        <v>15.54</v>
      </c>
      <c r="L377">
        <v>10.78</v>
      </c>
      <c r="M377" s="33">
        <v>6.6199999999999995E-2</v>
      </c>
      <c r="N377" s="33">
        <v>4.8500000000000001E-2</v>
      </c>
      <c r="O377">
        <v>1.7</v>
      </c>
      <c r="P377" s="33">
        <v>4.7100000000000003E-2</v>
      </c>
      <c r="Q377" s="33">
        <v>6.0100000000000001E-2</v>
      </c>
      <c r="R377" s="34">
        <v>119937</v>
      </c>
      <c r="S377" s="34">
        <v>1268180000</v>
      </c>
      <c r="T377">
        <v>0.59</v>
      </c>
      <c r="U377" s="33">
        <v>-9.3700000000000006E-2</v>
      </c>
    </row>
    <row r="378" spans="1:21" x14ac:dyDescent="0.25">
      <c r="A378" t="s">
        <v>174</v>
      </c>
      <c r="B378">
        <v>7.27</v>
      </c>
      <c r="C378">
        <v>13.28</v>
      </c>
      <c r="D378">
        <v>0.8</v>
      </c>
      <c r="E378">
        <v>0.64400000000000002</v>
      </c>
      <c r="F378" s="33">
        <v>2.53E-2</v>
      </c>
      <c r="G378">
        <v>0.39900000000000002</v>
      </c>
      <c r="H378">
        <v>1.68</v>
      </c>
      <c r="I378">
        <v>9.73</v>
      </c>
      <c r="J378">
        <v>5.22</v>
      </c>
      <c r="K378">
        <v>14.88</v>
      </c>
      <c r="L378">
        <v>10.32</v>
      </c>
      <c r="M378" s="33">
        <v>6.6199999999999995E-2</v>
      </c>
      <c r="N378" s="33">
        <v>4.8500000000000001E-2</v>
      </c>
      <c r="O378">
        <v>1.7</v>
      </c>
      <c r="P378" s="33">
        <v>4.7100000000000003E-2</v>
      </c>
      <c r="Q378" s="33">
        <v>6.0100000000000001E-2</v>
      </c>
      <c r="R378" s="34">
        <v>3001820</v>
      </c>
      <c r="S378" s="34">
        <v>1268180000</v>
      </c>
      <c r="T378">
        <v>0.59</v>
      </c>
      <c r="U378" s="33">
        <v>-9.3700000000000006E-2</v>
      </c>
    </row>
    <row r="379" spans="1:21" x14ac:dyDescent="0.25">
      <c r="A379" t="s">
        <v>257</v>
      </c>
      <c r="B379">
        <v>1.2</v>
      </c>
      <c r="C379">
        <v>-0.65</v>
      </c>
      <c r="D379">
        <v>0.23</v>
      </c>
      <c r="E379">
        <v>0.20499999999999999</v>
      </c>
      <c r="F379" s="33">
        <v>0</v>
      </c>
      <c r="G379">
        <v>7.0000000000000007E-2</v>
      </c>
      <c r="H379">
        <v>2.74</v>
      </c>
      <c r="I379">
        <v>-0.79</v>
      </c>
      <c r="J379">
        <v>-0.21</v>
      </c>
      <c r="K379">
        <v>-4.79</v>
      </c>
      <c r="L379">
        <v>-5.15</v>
      </c>
      <c r="M379" s="33">
        <v>-0.26050000000000001</v>
      </c>
      <c r="N379" s="33">
        <v>-0.32219999999999999</v>
      </c>
      <c r="O379">
        <v>1.08</v>
      </c>
      <c r="P379" s="33">
        <v>-0.10299999999999999</v>
      </c>
      <c r="Q379" s="33">
        <v>-0.3579</v>
      </c>
      <c r="R379" s="34">
        <v>118358</v>
      </c>
      <c r="S379" s="34">
        <v>378640000</v>
      </c>
      <c r="T379">
        <v>1.57</v>
      </c>
      <c r="U379" s="33">
        <v>0.31459999999999999</v>
      </c>
    </row>
    <row r="380" spans="1:21" x14ac:dyDescent="0.25">
      <c r="A380" t="s">
        <v>201</v>
      </c>
      <c r="B380">
        <v>6.5</v>
      </c>
      <c r="C380">
        <v>6.34</v>
      </c>
      <c r="D380">
        <v>0.98</v>
      </c>
      <c r="E380">
        <v>0.96099999999999997</v>
      </c>
      <c r="F380" s="33">
        <v>3.8100000000000002E-2</v>
      </c>
      <c r="G380">
        <v>0.58599999999999997</v>
      </c>
      <c r="H380">
        <v>1.28</v>
      </c>
      <c r="I380">
        <v>5.19</v>
      </c>
      <c r="J380">
        <v>2.25</v>
      </c>
      <c r="K380">
        <v>5.34</v>
      </c>
      <c r="L380">
        <v>6.16</v>
      </c>
      <c r="M380" s="33">
        <v>0.18540000000000001</v>
      </c>
      <c r="N380" s="33">
        <v>0.1517</v>
      </c>
      <c r="O380">
        <v>3.2</v>
      </c>
      <c r="P380" s="33">
        <v>0.1444</v>
      </c>
      <c r="Q380" s="33">
        <v>0.15529999999999999</v>
      </c>
      <c r="R380" s="34">
        <v>887994</v>
      </c>
      <c r="S380" s="34">
        <v>408423000</v>
      </c>
      <c r="T380">
        <v>0.25</v>
      </c>
      <c r="U380" s="33">
        <v>0.1166</v>
      </c>
    </row>
    <row r="381" spans="1:21" x14ac:dyDescent="0.25">
      <c r="A381" t="s">
        <v>457</v>
      </c>
      <c r="B381">
        <v>13.3</v>
      </c>
      <c r="C381">
        <v>224.38</v>
      </c>
      <c r="D381">
        <v>0.85</v>
      </c>
      <c r="E381">
        <v>2.7650000000000001</v>
      </c>
      <c r="F381" s="33">
        <v>0</v>
      </c>
      <c r="G381">
        <v>0.30299999999999999</v>
      </c>
      <c r="H381">
        <v>0.77</v>
      </c>
      <c r="I381">
        <v>-4.04</v>
      </c>
      <c r="J381">
        <v>-1.72</v>
      </c>
      <c r="K381">
        <v>0.17</v>
      </c>
      <c r="L381">
        <v>1.53</v>
      </c>
      <c r="M381" s="33">
        <v>-0.68459999999999999</v>
      </c>
      <c r="N381" s="33">
        <v>1.23E-2</v>
      </c>
      <c r="O381">
        <v>6.45</v>
      </c>
      <c r="P381" s="33">
        <v>-0.1178</v>
      </c>
      <c r="Q381" s="33">
        <v>3.8E-3</v>
      </c>
      <c r="R381" s="34">
        <v>32097.200000000001</v>
      </c>
      <c r="S381" s="34">
        <v>1467590000</v>
      </c>
      <c r="T381">
        <v>0.01</v>
      </c>
      <c r="U381" s="33">
        <v>0.1429</v>
      </c>
    </row>
    <row r="382" spans="1:21" x14ac:dyDescent="0.25">
      <c r="A382" t="s">
        <v>14</v>
      </c>
      <c r="B382">
        <v>8.6999999999999993</v>
      </c>
      <c r="C382">
        <v>146.77000000000001</v>
      </c>
      <c r="D382">
        <v>0.55000000000000004</v>
      </c>
      <c r="E382">
        <v>1.8089999999999999</v>
      </c>
      <c r="F382" s="33">
        <v>0</v>
      </c>
      <c r="G382">
        <v>0.19800000000000001</v>
      </c>
      <c r="H382">
        <v>0.5</v>
      </c>
      <c r="I382">
        <v>-2.64</v>
      </c>
      <c r="J382">
        <v>-1.1200000000000001</v>
      </c>
      <c r="K382">
        <v>1.57</v>
      </c>
      <c r="L382">
        <v>14.17</v>
      </c>
      <c r="M382" s="33">
        <v>-0.68459999999999999</v>
      </c>
      <c r="N382" s="33">
        <v>1.23E-2</v>
      </c>
      <c r="O382">
        <v>6.45</v>
      </c>
      <c r="P382" s="33">
        <v>-0.1178</v>
      </c>
      <c r="Q382" s="33">
        <v>3.8E-3</v>
      </c>
      <c r="R382" s="34">
        <v>33390.1</v>
      </c>
      <c r="S382" s="34">
        <v>1467590000</v>
      </c>
      <c r="T382">
        <v>0.01</v>
      </c>
      <c r="U382" s="33">
        <v>0.1429</v>
      </c>
    </row>
    <row r="383" spans="1:21" x14ac:dyDescent="0.25">
      <c r="A383" t="s">
        <v>64</v>
      </c>
      <c r="B383">
        <v>24.72</v>
      </c>
      <c r="C383">
        <v>16.16</v>
      </c>
      <c r="D383">
        <v>2.8</v>
      </c>
      <c r="E383">
        <v>0.89</v>
      </c>
      <c r="F383" s="33">
        <v>6.8999999999999999E-3</v>
      </c>
      <c r="G383">
        <v>0.59</v>
      </c>
      <c r="H383">
        <v>2.29</v>
      </c>
      <c r="I383">
        <v>6.9</v>
      </c>
      <c r="J383">
        <v>-3.05</v>
      </c>
      <c r="K383">
        <v>7.92</v>
      </c>
      <c r="L383">
        <v>6.83</v>
      </c>
      <c r="M383" s="33">
        <v>0.12889999999999999</v>
      </c>
      <c r="N383" s="33">
        <v>5.0799999999999998E-2</v>
      </c>
      <c r="O383">
        <v>1.77</v>
      </c>
      <c r="P383" s="33">
        <v>0.1028</v>
      </c>
      <c r="Q383" s="33">
        <v>0.17299999999999999</v>
      </c>
      <c r="R383" s="34">
        <v>41254800</v>
      </c>
      <c r="S383" s="34">
        <v>1083720000</v>
      </c>
      <c r="T383">
        <v>0.95</v>
      </c>
      <c r="U383" s="33">
        <v>8.5000000000000006E-2</v>
      </c>
    </row>
    <row r="384" spans="1:21" x14ac:dyDescent="0.25">
      <c r="A384" t="s">
        <v>154</v>
      </c>
      <c r="B384">
        <v>14.67</v>
      </c>
      <c r="C384">
        <v>17.82</v>
      </c>
      <c r="D384">
        <v>4.6399999999999997</v>
      </c>
      <c r="E384">
        <v>2.5470000000000002</v>
      </c>
      <c r="F384" s="33">
        <v>1.5299999999999999E-2</v>
      </c>
      <c r="G384">
        <v>2.71</v>
      </c>
      <c r="H384">
        <v>6.21</v>
      </c>
      <c r="I384">
        <v>12.75</v>
      </c>
      <c r="J384">
        <v>9.91</v>
      </c>
      <c r="K384">
        <v>13.3</v>
      </c>
      <c r="L384">
        <v>12.12</v>
      </c>
      <c r="M384" s="33">
        <v>0.19980000000000001</v>
      </c>
      <c r="N384" s="33">
        <v>0.14299999999999999</v>
      </c>
      <c r="O384">
        <v>2.72</v>
      </c>
      <c r="P384" s="33">
        <v>0.25069999999999998</v>
      </c>
      <c r="Q384" s="33">
        <v>0.2606</v>
      </c>
      <c r="R384" s="34">
        <v>7536400</v>
      </c>
      <c r="S384" s="34">
        <v>484021000</v>
      </c>
      <c r="T384">
        <v>0.3</v>
      </c>
      <c r="U384" s="33">
        <v>0.31109999999999999</v>
      </c>
    </row>
    <row r="385" spans="1:21" x14ac:dyDescent="0.25">
      <c r="A385" t="s">
        <v>68</v>
      </c>
      <c r="B385">
        <v>36.5</v>
      </c>
      <c r="C385">
        <v>8.7200000000000006</v>
      </c>
      <c r="D385">
        <v>2.5</v>
      </c>
      <c r="E385">
        <v>1.125</v>
      </c>
      <c r="F385" s="33">
        <v>7.0699999999999999E-2</v>
      </c>
      <c r="G385">
        <v>1.7849999999999999</v>
      </c>
      <c r="H385">
        <v>4.95</v>
      </c>
      <c r="I385">
        <v>6.83</v>
      </c>
      <c r="J385">
        <v>7.43</v>
      </c>
      <c r="K385">
        <v>6.43</v>
      </c>
      <c r="L385">
        <v>5.97</v>
      </c>
      <c r="M385" s="33">
        <v>0.16470000000000001</v>
      </c>
      <c r="N385" s="33">
        <v>0.1293</v>
      </c>
      <c r="O385">
        <v>3.2</v>
      </c>
      <c r="P385" s="33">
        <v>0.36659999999999998</v>
      </c>
      <c r="Q385" s="33">
        <v>0.28620000000000001</v>
      </c>
      <c r="R385" s="34">
        <v>8974120</v>
      </c>
      <c r="S385" s="34">
        <v>965143000</v>
      </c>
      <c r="T385">
        <v>0.21</v>
      </c>
      <c r="U385" s="33">
        <v>0.23</v>
      </c>
    </row>
    <row r="386" spans="1:21" x14ac:dyDescent="0.25">
      <c r="A386" t="s">
        <v>140</v>
      </c>
      <c r="B386">
        <v>20.05</v>
      </c>
      <c r="C386">
        <v>-93.44</v>
      </c>
      <c r="D386">
        <v>0</v>
      </c>
      <c r="E386">
        <v>-7.9630000000000001</v>
      </c>
      <c r="F386" s="33">
        <v>8.8400000000000006E-2</v>
      </c>
      <c r="G386">
        <v>0</v>
      </c>
      <c r="H386">
        <v>0</v>
      </c>
      <c r="I386">
        <v>-39.520000000000003</v>
      </c>
      <c r="J386">
        <v>0</v>
      </c>
      <c r="K386">
        <v>-39.520000000000003</v>
      </c>
      <c r="L386">
        <v>-16.27</v>
      </c>
      <c r="M386" s="33">
        <v>0.20150000000000001</v>
      </c>
      <c r="N386" s="33">
        <v>8.5199999999999998E-2</v>
      </c>
      <c r="O386">
        <v>0</v>
      </c>
      <c r="P386" s="33">
        <v>0</v>
      </c>
      <c r="Q386" s="33">
        <v>0</v>
      </c>
      <c r="R386" s="34">
        <v>127137000</v>
      </c>
      <c r="S386" s="34">
        <v>0</v>
      </c>
      <c r="T386">
        <v>0</v>
      </c>
      <c r="U386" s="33">
        <v>0.1273</v>
      </c>
    </row>
    <row r="387" spans="1:21" x14ac:dyDescent="0.25">
      <c r="A387" t="s">
        <v>458</v>
      </c>
      <c r="B387">
        <v>84</v>
      </c>
      <c r="C387">
        <v>5.16</v>
      </c>
      <c r="D387">
        <v>0.76</v>
      </c>
      <c r="E387">
        <v>0.83199999999999996</v>
      </c>
      <c r="F387" s="33">
        <v>8.3900000000000002E-2</v>
      </c>
      <c r="G387">
        <v>0.60399999999999998</v>
      </c>
      <c r="H387">
        <v>1.43</v>
      </c>
      <c r="I387">
        <v>5.76</v>
      </c>
      <c r="J387">
        <v>1.57</v>
      </c>
      <c r="K387">
        <v>4.16</v>
      </c>
      <c r="L387">
        <v>3.52</v>
      </c>
      <c r="M387" s="33">
        <v>0.1444</v>
      </c>
      <c r="N387" s="33">
        <v>0.16120000000000001</v>
      </c>
      <c r="O387">
        <v>3.45</v>
      </c>
      <c r="P387" s="33">
        <v>0.1416</v>
      </c>
      <c r="Q387" s="33">
        <v>0.1479</v>
      </c>
      <c r="R387" s="34">
        <v>2770.29</v>
      </c>
      <c r="S387" s="34">
        <v>324623000</v>
      </c>
      <c r="T387">
        <v>0.01</v>
      </c>
      <c r="U387" s="33">
        <v>6.6100000000000006E-2</v>
      </c>
    </row>
    <row r="388" spans="1:21" x14ac:dyDescent="0.25">
      <c r="A388" t="s">
        <v>32</v>
      </c>
      <c r="B388">
        <v>40.76</v>
      </c>
      <c r="C388">
        <v>31.1</v>
      </c>
      <c r="D388">
        <v>5.09</v>
      </c>
      <c r="E388">
        <v>4.4930000000000003</v>
      </c>
      <c r="F388" s="33">
        <v>1.4800000000000001E-2</v>
      </c>
      <c r="G388">
        <v>2.8130000000000002</v>
      </c>
      <c r="H388">
        <v>13.86</v>
      </c>
      <c r="I388">
        <v>12.19</v>
      </c>
      <c r="J388">
        <v>-37.450000000000003</v>
      </c>
      <c r="K388">
        <v>12.04</v>
      </c>
      <c r="L388">
        <v>10.3</v>
      </c>
      <c r="M388" s="33">
        <v>0.36840000000000001</v>
      </c>
      <c r="N388" s="33">
        <v>0.14829999999999999</v>
      </c>
      <c r="O388">
        <v>2.52</v>
      </c>
      <c r="P388" s="33">
        <v>0.30780000000000002</v>
      </c>
      <c r="Q388" s="33">
        <v>0.16370000000000001</v>
      </c>
      <c r="R388" s="34">
        <v>155291000</v>
      </c>
      <c r="S388" s="34">
        <v>4799780000</v>
      </c>
      <c r="T388">
        <v>0.34</v>
      </c>
      <c r="U388" s="33">
        <v>0.18229999999999999</v>
      </c>
    </row>
    <row r="389" spans="1:21" x14ac:dyDescent="0.25">
      <c r="A389" t="s">
        <v>173</v>
      </c>
      <c r="B389">
        <v>4.0199999999999996</v>
      </c>
      <c r="C389">
        <v>8.76</v>
      </c>
      <c r="D389">
        <v>0.19</v>
      </c>
      <c r="E389">
        <v>0.13600000000000001</v>
      </c>
      <c r="F389" s="33">
        <v>5.7299999999999997E-2</v>
      </c>
      <c r="G389">
        <v>6.5000000000000002E-2</v>
      </c>
      <c r="H389">
        <v>-0.15</v>
      </c>
      <c r="I389">
        <v>0.74</v>
      </c>
      <c r="J389">
        <v>-0.11</v>
      </c>
      <c r="K389">
        <v>6.25</v>
      </c>
      <c r="L389">
        <v>3.8</v>
      </c>
      <c r="M389" s="33">
        <v>0.185</v>
      </c>
      <c r="N389" s="33">
        <v>2.9999999999999997E-4</v>
      </c>
      <c r="O389">
        <v>0.13</v>
      </c>
      <c r="P389" s="33">
        <v>9.3100000000000002E-2</v>
      </c>
      <c r="Q389" s="33">
        <v>2.2100000000000002E-2</v>
      </c>
      <c r="R389" s="34">
        <v>100595</v>
      </c>
      <c r="S389" s="34">
        <v>912716000</v>
      </c>
      <c r="T389">
        <v>1.5</v>
      </c>
      <c r="U389" s="33">
        <v>7.6100000000000001E-2</v>
      </c>
    </row>
    <row r="390" spans="1:21" x14ac:dyDescent="0.25">
      <c r="A390" t="s">
        <v>189</v>
      </c>
      <c r="B390">
        <v>8.16</v>
      </c>
      <c r="C390">
        <v>-3.81</v>
      </c>
      <c r="D390">
        <v>1.75</v>
      </c>
      <c r="E390">
        <v>7.8579999999999997</v>
      </c>
      <c r="F390" s="33">
        <v>0</v>
      </c>
      <c r="G390">
        <v>1.597</v>
      </c>
      <c r="H390">
        <v>7.4</v>
      </c>
      <c r="I390">
        <v>-6.56</v>
      </c>
      <c r="J390">
        <v>8.11</v>
      </c>
      <c r="K390">
        <v>-6.04</v>
      </c>
      <c r="L390">
        <v>-8.0299999999999994</v>
      </c>
      <c r="M390" s="33">
        <v>-1.1986000000000001</v>
      </c>
      <c r="N390" s="33">
        <v>-2.0678999999999998</v>
      </c>
      <c r="O390">
        <v>4.05</v>
      </c>
      <c r="P390" s="33">
        <v>-0.28270000000000001</v>
      </c>
      <c r="Q390" s="33">
        <v>-0.45900000000000002</v>
      </c>
      <c r="R390" s="34">
        <v>376202</v>
      </c>
      <c r="S390" s="34">
        <v>186999000</v>
      </c>
      <c r="T390">
        <v>0.01</v>
      </c>
      <c r="U390" s="33">
        <v>-0.26050000000000001</v>
      </c>
    </row>
    <row r="391" spans="1:21" x14ac:dyDescent="0.25">
      <c r="A391" t="s">
        <v>117</v>
      </c>
      <c r="B391">
        <v>7.99</v>
      </c>
      <c r="C391">
        <v>8.18</v>
      </c>
      <c r="D391">
        <v>0.99</v>
      </c>
      <c r="E391">
        <v>1.133</v>
      </c>
      <c r="F391" s="33">
        <v>3.7600000000000001E-2</v>
      </c>
      <c r="G391">
        <v>0.47799999999999998</v>
      </c>
      <c r="H391">
        <v>0.79</v>
      </c>
      <c r="I391">
        <v>7.86</v>
      </c>
      <c r="J391">
        <v>1.45</v>
      </c>
      <c r="K391">
        <v>9.74</v>
      </c>
      <c r="L391">
        <v>8.4</v>
      </c>
      <c r="M391" s="33">
        <v>0.14410000000000001</v>
      </c>
      <c r="N391" s="33">
        <v>0.1419</v>
      </c>
      <c r="O391">
        <v>3.57</v>
      </c>
      <c r="P391" s="33">
        <v>7.4899999999999994E-2</v>
      </c>
      <c r="Q391" s="33">
        <v>0.1216</v>
      </c>
      <c r="R391" s="34">
        <v>4710490</v>
      </c>
      <c r="S391" s="34">
        <v>1500220000</v>
      </c>
      <c r="T391">
        <v>0.59</v>
      </c>
      <c r="U391" s="33">
        <v>0.12130000000000001</v>
      </c>
    </row>
    <row r="392" spans="1:21" x14ac:dyDescent="0.25">
      <c r="A392" t="s">
        <v>459</v>
      </c>
      <c r="B392">
        <v>14.12</v>
      </c>
      <c r="C392">
        <v>8.8699999999999992</v>
      </c>
      <c r="D392">
        <v>1.69</v>
      </c>
      <c r="E392">
        <v>0.51600000000000001</v>
      </c>
      <c r="F392" s="33">
        <v>1.35E-2</v>
      </c>
      <c r="G392">
        <v>0.71599999999999997</v>
      </c>
      <c r="H392">
        <v>3.54</v>
      </c>
      <c r="I392">
        <v>5.87</v>
      </c>
      <c r="J392">
        <v>9.3000000000000007</v>
      </c>
      <c r="K392">
        <v>6.33</v>
      </c>
      <c r="L392">
        <v>5.84</v>
      </c>
      <c r="M392" s="33">
        <v>8.7800000000000003E-2</v>
      </c>
      <c r="N392" s="33">
        <v>5.8099999999999999E-2</v>
      </c>
      <c r="O392">
        <v>1.45</v>
      </c>
      <c r="P392" s="33">
        <v>0.23599999999999999</v>
      </c>
      <c r="Q392" s="33">
        <v>0.19109999999999999</v>
      </c>
      <c r="R392" s="34">
        <v>22045100</v>
      </c>
      <c r="S392" s="34">
        <v>4153040000</v>
      </c>
      <c r="T392">
        <v>0.53</v>
      </c>
      <c r="U392" s="33">
        <v>0.32719999999999999</v>
      </c>
    </row>
    <row r="393" spans="1:21" x14ac:dyDescent="0.25">
      <c r="A393" t="s">
        <v>160</v>
      </c>
      <c r="B393">
        <v>18.649999999999999</v>
      </c>
      <c r="C393">
        <v>-62.86</v>
      </c>
      <c r="D393">
        <v>0.81</v>
      </c>
      <c r="E393">
        <v>0.255</v>
      </c>
      <c r="F393" s="33">
        <v>7.4700000000000003E-2</v>
      </c>
      <c r="G393">
        <v>0.251</v>
      </c>
      <c r="H393">
        <v>0.69</v>
      </c>
      <c r="I393">
        <v>3.17</v>
      </c>
      <c r="J393">
        <v>-4.91</v>
      </c>
      <c r="K393">
        <v>6.18</v>
      </c>
      <c r="L393">
        <v>4.22</v>
      </c>
      <c r="M393" s="33">
        <v>8.0299999999999996E-2</v>
      </c>
      <c r="N393" s="33">
        <v>-4.1999999999999997E-3</v>
      </c>
      <c r="O393">
        <v>2.33</v>
      </c>
      <c r="P393" s="33">
        <v>0.1144</v>
      </c>
      <c r="Q393" s="33">
        <v>-1.29E-2</v>
      </c>
      <c r="R393" s="34">
        <v>17895000</v>
      </c>
      <c r="S393" s="34">
        <v>3314060000</v>
      </c>
      <c r="T393">
        <v>1.28</v>
      </c>
      <c r="U393" s="33">
        <v>0.21640000000000001</v>
      </c>
    </row>
    <row r="394" spans="1:21" x14ac:dyDescent="0.25">
      <c r="A394" t="s">
        <v>460</v>
      </c>
      <c r="B394">
        <v>8.5</v>
      </c>
      <c r="C394">
        <v>-0.83</v>
      </c>
      <c r="D394">
        <v>-0.1</v>
      </c>
      <c r="E394">
        <v>0.308</v>
      </c>
      <c r="F394" s="33">
        <v>0</v>
      </c>
      <c r="G394">
        <v>0.214</v>
      </c>
      <c r="H394">
        <v>-0.21</v>
      </c>
      <c r="I394">
        <v>-7.39</v>
      </c>
      <c r="J394">
        <v>-0.08</v>
      </c>
      <c r="K394">
        <v>-73.38</v>
      </c>
      <c r="L394" s="34">
        <v>-1325.78</v>
      </c>
      <c r="M394" s="33">
        <v>-4.1599999999999998E-2</v>
      </c>
      <c r="N394" s="33">
        <v>-0.37230000000000002</v>
      </c>
      <c r="O394">
        <v>0.27</v>
      </c>
      <c r="P394" s="33">
        <v>-3.0599999999999999E-2</v>
      </c>
      <c r="Q394" s="33">
        <v>0.1215</v>
      </c>
      <c r="R394" s="34">
        <v>103.66</v>
      </c>
      <c r="S394" s="34">
        <v>-360582000</v>
      </c>
      <c r="T394">
        <v>-0.9</v>
      </c>
      <c r="U394" s="33">
        <v>-5.1999999999999998E-3</v>
      </c>
    </row>
    <row r="395" spans="1:21" x14ac:dyDescent="0.25">
      <c r="A395" t="s">
        <v>461</v>
      </c>
      <c r="B395">
        <v>1.75</v>
      </c>
      <c r="C395">
        <v>-0.17</v>
      </c>
      <c r="D395">
        <v>-0.02</v>
      </c>
      <c r="E395">
        <v>6.3E-2</v>
      </c>
      <c r="F395" s="33">
        <v>0</v>
      </c>
      <c r="G395">
        <v>4.3999999999999997E-2</v>
      </c>
      <c r="H395">
        <v>-0.04</v>
      </c>
      <c r="I395">
        <v>-1.52</v>
      </c>
      <c r="J395">
        <v>-0.02</v>
      </c>
      <c r="K395">
        <v>-67.510000000000005</v>
      </c>
      <c r="L395" s="34">
        <v>-1219.7</v>
      </c>
      <c r="M395" s="33">
        <v>-4.1599999999999998E-2</v>
      </c>
      <c r="N395" s="33">
        <v>-0.37230000000000002</v>
      </c>
      <c r="O395">
        <v>0.27</v>
      </c>
      <c r="P395" s="33">
        <v>-3.0599999999999999E-2</v>
      </c>
      <c r="Q395" s="33">
        <v>0.1215</v>
      </c>
      <c r="R395" s="34">
        <v>4620.71</v>
      </c>
      <c r="S395" s="34">
        <v>-360582000</v>
      </c>
      <c r="T395">
        <v>-0.9</v>
      </c>
      <c r="U395" s="33">
        <v>-5.1999999999999998E-3</v>
      </c>
    </row>
    <row r="396" spans="1:21" x14ac:dyDescent="0.25">
      <c r="A396" t="s">
        <v>124</v>
      </c>
      <c r="B396">
        <v>1.48</v>
      </c>
      <c r="C396">
        <v>23.17</v>
      </c>
      <c r="D396">
        <v>0.52</v>
      </c>
      <c r="E396">
        <v>0.44</v>
      </c>
      <c r="F396" s="33">
        <v>0.1227</v>
      </c>
      <c r="G396">
        <v>0.251</v>
      </c>
      <c r="H396">
        <v>3.38</v>
      </c>
      <c r="I396">
        <v>-14.81</v>
      </c>
      <c r="J396">
        <v>-1.25</v>
      </c>
      <c r="K396">
        <v>-23.58</v>
      </c>
      <c r="L396" s="34">
        <v>17.23</v>
      </c>
      <c r="M396" s="33">
        <v>-2.9700000000000001E-2</v>
      </c>
      <c r="N396" s="33">
        <v>1.9E-2</v>
      </c>
      <c r="O396">
        <v>1.3</v>
      </c>
      <c r="P396" s="33">
        <v>-2.06E-2</v>
      </c>
      <c r="Q396" s="33">
        <v>2.2599999999999999E-2</v>
      </c>
      <c r="R396" s="34">
        <v>97029.1</v>
      </c>
      <c r="S396" s="34">
        <v>186424000</v>
      </c>
      <c r="T396">
        <v>0.59</v>
      </c>
      <c r="U396" s="33">
        <v>5.11E-2</v>
      </c>
    </row>
    <row r="397" spans="1:21" x14ac:dyDescent="0.25">
      <c r="A397" t="s">
        <v>115</v>
      </c>
      <c r="B397">
        <v>16.100000000000001</v>
      </c>
      <c r="C397" s="34">
        <v>7.93</v>
      </c>
      <c r="D397">
        <v>1.18</v>
      </c>
      <c r="E397">
        <v>0.13200000000000001</v>
      </c>
      <c r="F397" s="33">
        <v>4.3499999999999997E-2</v>
      </c>
      <c r="G397">
        <v>0.47599999999999998</v>
      </c>
      <c r="H397">
        <v>2.86</v>
      </c>
      <c r="I397">
        <v>3.4</v>
      </c>
      <c r="J397">
        <v>-2.46</v>
      </c>
      <c r="K397">
        <v>5.72</v>
      </c>
      <c r="L397" s="34">
        <v>4.6399999999999997</v>
      </c>
      <c r="M397" s="33">
        <v>3.8699999999999998E-2</v>
      </c>
      <c r="N397" s="33">
        <v>1.78E-2</v>
      </c>
      <c r="O397">
        <v>1.76</v>
      </c>
      <c r="P397" s="33">
        <v>0.16789999999999999</v>
      </c>
      <c r="Q397" s="33">
        <v>0.14899999999999999</v>
      </c>
      <c r="R397" s="34">
        <v>104673000</v>
      </c>
      <c r="S397" s="34">
        <v>15195500000</v>
      </c>
      <c r="T397">
        <v>0.99</v>
      </c>
      <c r="U397" s="33">
        <v>0.11020000000000001</v>
      </c>
    </row>
    <row r="398" spans="1:21" x14ac:dyDescent="0.25">
      <c r="A398" t="s">
        <v>462</v>
      </c>
      <c r="B398">
        <v>53.55</v>
      </c>
      <c r="C398">
        <v>9.31</v>
      </c>
      <c r="D398">
        <v>2.29</v>
      </c>
      <c r="E398">
        <v>1.075</v>
      </c>
      <c r="F398" s="33">
        <v>8.5999999999999993E-2</v>
      </c>
      <c r="G398">
        <v>0.83199999999999996</v>
      </c>
      <c r="H398">
        <v>3.83</v>
      </c>
      <c r="I398">
        <v>7.9</v>
      </c>
      <c r="J398">
        <v>-3.47</v>
      </c>
      <c r="K398">
        <v>9.17</v>
      </c>
      <c r="L398">
        <v>6.4</v>
      </c>
      <c r="M398" s="33">
        <v>0.1361</v>
      </c>
      <c r="N398" s="33">
        <v>0.11559999999999999</v>
      </c>
      <c r="O398">
        <v>2.2400000000000002</v>
      </c>
      <c r="P398" s="33">
        <v>0.14269999999999999</v>
      </c>
      <c r="Q398" s="33">
        <v>0.2457</v>
      </c>
      <c r="R398" s="34">
        <v>294564</v>
      </c>
      <c r="S398" s="34">
        <v>2649660000</v>
      </c>
      <c r="T398">
        <v>0.93</v>
      </c>
      <c r="U398" s="33">
        <v>8.0000000000000002E-3</v>
      </c>
    </row>
    <row r="399" spans="1:21" x14ac:dyDescent="0.25">
      <c r="A399" t="s">
        <v>463</v>
      </c>
      <c r="B399">
        <v>59.65</v>
      </c>
      <c r="C399">
        <v>10.37</v>
      </c>
      <c r="D399">
        <v>2.5499999999999998</v>
      </c>
      <c r="E399">
        <v>1.198</v>
      </c>
      <c r="F399" s="33">
        <v>8.4900000000000003E-2</v>
      </c>
      <c r="G399">
        <v>0.92700000000000005</v>
      </c>
      <c r="H399">
        <v>4.26</v>
      </c>
      <c r="I399">
        <v>8.8000000000000007</v>
      </c>
      <c r="J399">
        <v>-3.86</v>
      </c>
      <c r="K399">
        <v>10.07</v>
      </c>
      <c r="L399">
        <v>7.03</v>
      </c>
      <c r="M399" s="33">
        <v>0.1361</v>
      </c>
      <c r="N399" s="33">
        <v>0.11559999999999999</v>
      </c>
      <c r="O399">
        <v>2.2400000000000002</v>
      </c>
      <c r="P399" s="33">
        <v>0.14269999999999999</v>
      </c>
      <c r="Q399" s="33">
        <v>0.2457</v>
      </c>
      <c r="R399" s="34">
        <v>69876.2</v>
      </c>
      <c r="S399" s="34">
        <v>2649660000</v>
      </c>
      <c r="T399">
        <v>0.93</v>
      </c>
      <c r="U399" s="33">
        <v>8.0000000000000002E-3</v>
      </c>
    </row>
    <row r="400" spans="1:21" x14ac:dyDescent="0.25">
      <c r="A400" t="s">
        <v>151</v>
      </c>
      <c r="B400">
        <v>59.4</v>
      </c>
      <c r="C400">
        <v>10.33</v>
      </c>
      <c r="D400">
        <v>2.54</v>
      </c>
      <c r="E400">
        <v>1.1930000000000001</v>
      </c>
      <c r="F400" s="33">
        <v>8.5300000000000001E-2</v>
      </c>
      <c r="G400">
        <v>0.92300000000000004</v>
      </c>
      <c r="H400">
        <v>4.24</v>
      </c>
      <c r="I400">
        <v>8.77</v>
      </c>
      <c r="J400">
        <v>-3.85</v>
      </c>
      <c r="K400">
        <v>10.029999999999999</v>
      </c>
      <c r="L400">
        <v>7</v>
      </c>
      <c r="M400" s="33">
        <v>0.1361</v>
      </c>
      <c r="N400" s="33">
        <v>0.11559999999999999</v>
      </c>
      <c r="O400">
        <v>2.2400000000000002</v>
      </c>
      <c r="P400" s="33">
        <v>0.14269999999999999</v>
      </c>
      <c r="Q400" s="33">
        <v>0.2457</v>
      </c>
      <c r="R400" s="34">
        <v>7505130</v>
      </c>
      <c r="S400" s="34">
        <v>2649660000</v>
      </c>
      <c r="T400">
        <v>0.93</v>
      </c>
      <c r="U400" s="33">
        <v>8.0000000000000002E-3</v>
      </c>
    </row>
    <row r="401" spans="1:21" x14ac:dyDescent="0.25">
      <c r="A401" t="s">
        <v>113</v>
      </c>
      <c r="B401">
        <v>5.05</v>
      </c>
      <c r="C401">
        <v>45.03</v>
      </c>
      <c r="D401">
        <v>0.26</v>
      </c>
      <c r="E401">
        <v>0.23899999999999999</v>
      </c>
      <c r="F401" s="33">
        <v>0</v>
      </c>
      <c r="G401">
        <v>0.155</v>
      </c>
      <c r="H401">
        <v>0.45</v>
      </c>
      <c r="I401">
        <v>6.74</v>
      </c>
      <c r="J401">
        <v>1.37</v>
      </c>
      <c r="K401">
        <v>8.08</v>
      </c>
      <c r="L401">
        <v>3.49</v>
      </c>
      <c r="M401" s="33">
        <v>3.5400000000000001E-2</v>
      </c>
      <c r="N401" s="33">
        <v>1.15E-2</v>
      </c>
      <c r="O401">
        <v>4.26</v>
      </c>
      <c r="P401" s="33">
        <v>2.98E-2</v>
      </c>
      <c r="Q401" s="33">
        <v>5.7999999999999996E-3</v>
      </c>
      <c r="R401" s="34">
        <v>1817550</v>
      </c>
      <c r="S401" s="34">
        <v>24175800000</v>
      </c>
      <c r="T401">
        <v>0.32</v>
      </c>
      <c r="U401" s="33">
        <v>3.7600000000000001E-2</v>
      </c>
    </row>
    <row r="402" spans="1:21" x14ac:dyDescent="0.25">
      <c r="A402" t="s">
        <v>125</v>
      </c>
      <c r="B402">
        <v>5.17</v>
      </c>
      <c r="C402">
        <v>46.1</v>
      </c>
      <c r="D402">
        <v>0.27</v>
      </c>
      <c r="E402">
        <v>0.24399999999999999</v>
      </c>
      <c r="F402" s="33">
        <v>0</v>
      </c>
      <c r="G402">
        <v>0.159</v>
      </c>
      <c r="H402">
        <v>0.46</v>
      </c>
      <c r="I402">
        <v>6.9</v>
      </c>
      <c r="J402">
        <v>1.41</v>
      </c>
      <c r="K402">
        <v>8.24</v>
      </c>
      <c r="L402">
        <v>3.56</v>
      </c>
      <c r="M402" s="33">
        <v>3.5400000000000001E-2</v>
      </c>
      <c r="N402" s="33">
        <v>1.15E-2</v>
      </c>
      <c r="O402">
        <v>4.26</v>
      </c>
      <c r="P402" s="33">
        <v>2.98E-2</v>
      </c>
      <c r="Q402" s="33">
        <v>5.7999999999999996E-3</v>
      </c>
      <c r="R402" s="34">
        <v>65378200</v>
      </c>
      <c r="S402" s="34">
        <v>24175800000</v>
      </c>
      <c r="T402">
        <v>0.32</v>
      </c>
      <c r="U402" s="33">
        <v>3.7600000000000001E-2</v>
      </c>
    </row>
    <row r="403" spans="1:21" x14ac:dyDescent="0.25">
      <c r="A403" t="s">
        <v>464</v>
      </c>
      <c r="B403">
        <v>8</v>
      </c>
      <c r="C403">
        <v>71.34</v>
      </c>
      <c r="D403">
        <v>0.41</v>
      </c>
      <c r="E403">
        <v>0.378</v>
      </c>
      <c r="F403" s="33">
        <v>0</v>
      </c>
      <c r="G403">
        <v>0.246</v>
      </c>
      <c r="H403">
        <v>0.71</v>
      </c>
      <c r="I403">
        <v>10.68</v>
      </c>
      <c r="J403">
        <v>2.17</v>
      </c>
      <c r="K403">
        <v>12.02</v>
      </c>
      <c r="L403">
        <v>5.19</v>
      </c>
      <c r="M403" s="33">
        <v>3.5400000000000001E-2</v>
      </c>
      <c r="N403" s="33">
        <v>1.15E-2</v>
      </c>
      <c r="O403">
        <v>4.26</v>
      </c>
      <c r="P403" s="33">
        <v>2.98E-2</v>
      </c>
      <c r="Q403" s="33">
        <v>5.7999999999999996E-3</v>
      </c>
      <c r="R403" s="34">
        <v>376.46</v>
      </c>
      <c r="S403" s="34">
        <v>24175800000</v>
      </c>
      <c r="T403">
        <v>0.32</v>
      </c>
      <c r="U403" s="33">
        <v>3.7600000000000001E-2</v>
      </c>
    </row>
    <row r="404" spans="1:21" x14ac:dyDescent="0.25">
      <c r="A404" t="s">
        <v>97</v>
      </c>
      <c r="B404">
        <v>52.91</v>
      </c>
      <c r="C404">
        <v>7.63</v>
      </c>
      <c r="D404">
        <v>1.19</v>
      </c>
      <c r="E404">
        <v>1.135</v>
      </c>
      <c r="F404" s="33">
        <v>8.9899999999999994E-2</v>
      </c>
      <c r="G404">
        <v>0.501</v>
      </c>
      <c r="H404">
        <v>28.78</v>
      </c>
      <c r="I404">
        <v>3.36</v>
      </c>
      <c r="J404">
        <v>-1.29</v>
      </c>
      <c r="K404">
        <v>4.34</v>
      </c>
      <c r="L404">
        <v>3.5</v>
      </c>
      <c r="M404" s="33">
        <v>0.33779999999999999</v>
      </c>
      <c r="N404" s="33">
        <v>0.1431</v>
      </c>
      <c r="O404">
        <v>1.1100000000000001</v>
      </c>
      <c r="P404" s="33">
        <v>0.1658</v>
      </c>
      <c r="Q404" s="33">
        <v>0.15570000000000001</v>
      </c>
      <c r="R404" s="34">
        <v>1034260000</v>
      </c>
      <c r="S404" s="34">
        <v>202082000000</v>
      </c>
      <c r="T404">
        <v>0.46</v>
      </c>
      <c r="U404" s="33">
        <v>-5.9799999999999999E-2</v>
      </c>
    </row>
    <row r="405" spans="1:21" x14ac:dyDescent="0.25">
      <c r="A405" t="s">
        <v>213</v>
      </c>
      <c r="B405">
        <v>4.78</v>
      </c>
      <c r="C405">
        <v>16.899999999999999</v>
      </c>
      <c r="D405">
        <v>2.08</v>
      </c>
      <c r="E405">
        <v>1.2</v>
      </c>
      <c r="F405" s="33">
        <v>5.7299999999999997E-2</v>
      </c>
      <c r="G405">
        <v>0.23100000000000001</v>
      </c>
      <c r="H405">
        <v>1.89</v>
      </c>
      <c r="I405">
        <v>1.88</v>
      </c>
      <c r="J405">
        <v>-0.37</v>
      </c>
      <c r="K405">
        <v>6.21</v>
      </c>
      <c r="L405">
        <v>4.78</v>
      </c>
      <c r="M405" s="33">
        <v>0.63870000000000005</v>
      </c>
      <c r="N405" s="33">
        <v>7.0999999999999994E-2</v>
      </c>
      <c r="O405">
        <v>1.86</v>
      </c>
      <c r="P405" s="33">
        <v>0.16239999999999999</v>
      </c>
      <c r="Q405" s="33">
        <v>0.1229</v>
      </c>
      <c r="R405" s="34">
        <v>59903300</v>
      </c>
      <c r="S405" s="34">
        <v>2488240000</v>
      </c>
      <c r="T405">
        <v>6.58</v>
      </c>
      <c r="U405" s="33">
        <v>0.27750000000000002</v>
      </c>
    </row>
    <row r="406" spans="1:21" x14ac:dyDescent="0.25">
      <c r="A406" t="s">
        <v>116</v>
      </c>
      <c r="B406">
        <v>20.25</v>
      </c>
      <c r="C406">
        <v>3.66</v>
      </c>
      <c r="D406">
        <v>1.1000000000000001</v>
      </c>
      <c r="E406">
        <v>0.128</v>
      </c>
      <c r="F406" s="33">
        <v>8.7999999999999995E-2</v>
      </c>
      <c r="G406">
        <v>0.36399999999999999</v>
      </c>
      <c r="H406">
        <v>1.8</v>
      </c>
      <c r="I406">
        <v>4.9800000000000004</v>
      </c>
      <c r="J406">
        <v>-1.48</v>
      </c>
      <c r="K406">
        <v>9.57</v>
      </c>
      <c r="L406">
        <v>8.3699999999999992</v>
      </c>
      <c r="M406" s="33">
        <v>2.5600000000000001E-2</v>
      </c>
      <c r="N406" s="33">
        <v>3.4799999999999998E-2</v>
      </c>
      <c r="O406">
        <v>1.94</v>
      </c>
      <c r="P406" s="33">
        <v>8.4500000000000006E-2</v>
      </c>
      <c r="Q406" s="33">
        <v>0.30130000000000001</v>
      </c>
      <c r="R406" s="34">
        <v>189398000</v>
      </c>
      <c r="S406" s="34">
        <v>20557000000</v>
      </c>
      <c r="T406">
        <v>1.28</v>
      </c>
      <c r="U406" s="33">
        <v>0.1709</v>
      </c>
    </row>
    <row r="407" spans="1:21" x14ac:dyDescent="0.25">
      <c r="A407" t="s">
        <v>220</v>
      </c>
      <c r="B407">
        <v>4.66</v>
      </c>
      <c r="C407">
        <v>9.6199999999999992</v>
      </c>
      <c r="D407">
        <v>1.1100000000000001</v>
      </c>
      <c r="E407">
        <v>0.872</v>
      </c>
      <c r="F407" s="33">
        <v>3.6299999999999999E-2</v>
      </c>
      <c r="G407">
        <v>0.71099999999999997</v>
      </c>
      <c r="H407">
        <v>1.8</v>
      </c>
      <c r="I407">
        <v>8.31</v>
      </c>
      <c r="J407">
        <v>2.65</v>
      </c>
      <c r="K407">
        <v>11.28</v>
      </c>
      <c r="L407">
        <v>8.91</v>
      </c>
      <c r="M407" s="33">
        <v>0.105</v>
      </c>
      <c r="N407" s="33">
        <v>9.0399999999999994E-2</v>
      </c>
      <c r="O407">
        <v>2.67</v>
      </c>
      <c r="P407" s="33">
        <v>8.9099999999999999E-2</v>
      </c>
      <c r="Q407" s="33">
        <v>0.1159</v>
      </c>
      <c r="R407" s="34">
        <v>1323700</v>
      </c>
      <c r="S407" s="34">
        <v>628625000</v>
      </c>
      <c r="T407">
        <v>0.43</v>
      </c>
      <c r="U407" s="33">
        <v>5.5399999999999998E-2</v>
      </c>
    </row>
    <row r="408" spans="1:21" x14ac:dyDescent="0.25">
      <c r="A408" t="s">
        <v>142</v>
      </c>
      <c r="B408">
        <v>25.23</v>
      </c>
      <c r="C408">
        <v>8.1300000000000008</v>
      </c>
      <c r="D408">
        <v>2.2799999999999998</v>
      </c>
      <c r="E408">
        <v>2.2320000000000002</v>
      </c>
      <c r="F408" s="33">
        <v>2.6200000000000001E-2</v>
      </c>
      <c r="G408">
        <v>1.409</v>
      </c>
      <c r="H408">
        <v>3.14</v>
      </c>
      <c r="I408">
        <v>9.1300000000000008</v>
      </c>
      <c r="J408">
        <v>5.79</v>
      </c>
      <c r="K408">
        <v>9.58</v>
      </c>
      <c r="L408">
        <v>7.75</v>
      </c>
      <c r="M408" s="33">
        <v>0.2445</v>
      </c>
      <c r="N408" s="33">
        <v>0.27439999999999998</v>
      </c>
      <c r="O408">
        <v>3.54</v>
      </c>
      <c r="P408" s="33">
        <v>0.16789999999999999</v>
      </c>
      <c r="Q408" s="33">
        <v>0.28050000000000003</v>
      </c>
      <c r="R408" s="34">
        <v>88047000</v>
      </c>
      <c r="S408" s="34">
        <v>2611940000</v>
      </c>
      <c r="T408">
        <v>0.18</v>
      </c>
      <c r="U408" s="33">
        <v>0.24540000000000001</v>
      </c>
    </row>
    <row r="409" spans="1:21" x14ac:dyDescent="0.25">
      <c r="A409" t="s">
        <v>254</v>
      </c>
      <c r="B409">
        <v>0.88</v>
      </c>
      <c r="C409">
        <v>-0.76</v>
      </c>
      <c r="D409">
        <v>0.24</v>
      </c>
      <c r="E409">
        <v>0.3</v>
      </c>
      <c r="F409" s="33">
        <v>0</v>
      </c>
      <c r="G409">
        <v>0.121</v>
      </c>
      <c r="H409">
        <v>0.69</v>
      </c>
      <c r="I409">
        <v>13.55</v>
      </c>
      <c r="J409">
        <v>-2.61</v>
      </c>
      <c r="K409">
        <v>13.97</v>
      </c>
      <c r="L409">
        <v>11.97</v>
      </c>
      <c r="M409" s="33">
        <v>2.2100000000000002E-2</v>
      </c>
      <c r="N409" s="33">
        <v>-0.38350000000000001</v>
      </c>
      <c r="O409">
        <v>1.71</v>
      </c>
      <c r="P409" s="33">
        <v>9.7000000000000003E-3</v>
      </c>
      <c r="Q409" s="33">
        <v>-0.312</v>
      </c>
      <c r="R409" s="34">
        <v>79953.3</v>
      </c>
      <c r="S409" s="34">
        <v>142168000</v>
      </c>
      <c r="T409">
        <v>0.15</v>
      </c>
      <c r="U409" s="33">
        <v>0.2097</v>
      </c>
    </row>
    <row r="410" spans="1:21" x14ac:dyDescent="0.25">
      <c r="A410" t="s">
        <v>152</v>
      </c>
      <c r="B410">
        <v>28.89</v>
      </c>
      <c r="C410">
        <v>16.5</v>
      </c>
      <c r="D410">
        <v>1.38</v>
      </c>
      <c r="E410">
        <v>1.6619999999999999</v>
      </c>
      <c r="F410" s="33">
        <v>5.6500000000000002E-2</v>
      </c>
      <c r="G410">
        <v>0.74399999999999999</v>
      </c>
      <c r="H410">
        <v>-98.11</v>
      </c>
      <c r="I410">
        <v>11.22</v>
      </c>
      <c r="J410">
        <v>-2.88</v>
      </c>
      <c r="K410">
        <v>12.69</v>
      </c>
      <c r="L410">
        <v>4.6399999999999997</v>
      </c>
      <c r="M410" s="33">
        <v>0.14810000000000001</v>
      </c>
      <c r="N410" s="33">
        <v>0.1009</v>
      </c>
      <c r="O410">
        <v>0.96</v>
      </c>
      <c r="P410" s="33">
        <v>7.7100000000000002E-2</v>
      </c>
      <c r="Q410" s="33">
        <v>8.3900000000000002E-2</v>
      </c>
      <c r="R410" s="34">
        <v>183370000</v>
      </c>
      <c r="S410" s="34">
        <v>68076000000</v>
      </c>
      <c r="T410">
        <v>0.3</v>
      </c>
      <c r="U410" s="33">
        <v>7.4499999999999997E-2</v>
      </c>
    </row>
    <row r="411" spans="1:21" x14ac:dyDescent="0.25">
      <c r="A411" t="s">
        <v>59</v>
      </c>
      <c r="B411">
        <v>25.7</v>
      </c>
      <c r="C411">
        <v>6.86</v>
      </c>
      <c r="D411">
        <v>1.2</v>
      </c>
      <c r="E411">
        <v>0.96099999999999997</v>
      </c>
      <c r="F411" s="33">
        <v>0.1052</v>
      </c>
      <c r="G411">
        <v>0.71299999999999997</v>
      </c>
      <c r="H411">
        <v>2.14</v>
      </c>
      <c r="I411">
        <v>5.54</v>
      </c>
      <c r="J411">
        <v>6.45</v>
      </c>
      <c r="K411">
        <v>5.42</v>
      </c>
      <c r="L411">
        <v>4.25</v>
      </c>
      <c r="M411" s="33">
        <v>0.17369999999999999</v>
      </c>
      <c r="N411" s="33">
        <v>0.1401</v>
      </c>
      <c r="O411">
        <v>2.83</v>
      </c>
      <c r="P411" s="33">
        <v>0.1787</v>
      </c>
      <c r="Q411" s="33">
        <v>0.17510000000000001</v>
      </c>
      <c r="R411" s="34">
        <v>9029700</v>
      </c>
      <c r="S411" s="34">
        <v>1750530000</v>
      </c>
      <c r="T411">
        <v>0.34</v>
      </c>
      <c r="U411" s="33">
        <v>1.8200000000000001E-2</v>
      </c>
    </row>
    <row r="412" spans="1:21" x14ac:dyDescent="0.25">
      <c r="A412" t="s">
        <v>261</v>
      </c>
      <c r="B412">
        <v>5.99</v>
      </c>
      <c r="C412">
        <v>-73.06</v>
      </c>
      <c r="D412">
        <v>0.67</v>
      </c>
      <c r="E412">
        <v>0.60599999999999998</v>
      </c>
      <c r="F412" s="33">
        <v>2.0000000000000001E-4</v>
      </c>
      <c r="G412">
        <v>0.41599999999999998</v>
      </c>
      <c r="H412">
        <v>4.8600000000000003</v>
      </c>
      <c r="I412">
        <v>16.350000000000001</v>
      </c>
      <c r="J412">
        <v>-5.07</v>
      </c>
      <c r="K412">
        <v>23.47</v>
      </c>
      <c r="L412">
        <v>4.59</v>
      </c>
      <c r="M412" s="33">
        <v>3.7100000000000001E-2</v>
      </c>
      <c r="N412" s="33">
        <v>-8.3000000000000001E-3</v>
      </c>
      <c r="O412">
        <v>1.41</v>
      </c>
      <c r="P412" s="33">
        <v>2.8400000000000002E-2</v>
      </c>
      <c r="Q412" s="33">
        <v>-9.1000000000000004E-3</v>
      </c>
      <c r="R412" s="34">
        <v>182342</v>
      </c>
      <c r="S412" s="34">
        <v>1029440000</v>
      </c>
      <c r="T412">
        <v>0.33</v>
      </c>
      <c r="U412" s="33">
        <v>0.16880000000000001</v>
      </c>
    </row>
    <row r="413" spans="1:21" x14ac:dyDescent="0.25">
      <c r="A413" t="s">
        <v>465</v>
      </c>
      <c r="B413">
        <v>9.5</v>
      </c>
      <c r="C413">
        <v>3.85</v>
      </c>
      <c r="D413">
        <v>0.49</v>
      </c>
      <c r="E413">
        <v>0.58399999999999996</v>
      </c>
      <c r="F413" s="33">
        <v>2.3E-3</v>
      </c>
      <c r="G413">
        <v>0.215</v>
      </c>
      <c r="H413">
        <v>2.4900000000000002</v>
      </c>
      <c r="I413">
        <v>1.72</v>
      </c>
      <c r="J413">
        <v>-0.54</v>
      </c>
      <c r="K413">
        <v>4.22</v>
      </c>
      <c r="L413">
        <v>3.26</v>
      </c>
      <c r="M413" s="33">
        <v>0.33910000000000001</v>
      </c>
      <c r="N413" s="33">
        <v>0.1515</v>
      </c>
      <c r="O413">
        <v>2.15</v>
      </c>
      <c r="P413" s="33">
        <v>0.14149999999999999</v>
      </c>
      <c r="Q413" s="33">
        <v>0.1268</v>
      </c>
      <c r="R413" s="34">
        <v>7382380</v>
      </c>
      <c r="S413" s="34">
        <v>2608610000</v>
      </c>
      <c r="T413">
        <v>0.93</v>
      </c>
      <c r="U413" s="33">
        <v>0.1741</v>
      </c>
    </row>
    <row r="414" spans="1:21" x14ac:dyDescent="0.25">
      <c r="A414" t="s">
        <v>190</v>
      </c>
      <c r="B414">
        <v>19.940000000000001</v>
      </c>
      <c r="C414">
        <v>9.36</v>
      </c>
      <c r="D414">
        <v>2.4900000000000002</v>
      </c>
      <c r="E414">
        <v>1.7430000000000001</v>
      </c>
      <c r="F414" s="33">
        <v>6.88E-2</v>
      </c>
      <c r="G414">
        <v>1.873</v>
      </c>
      <c r="H414">
        <v>3.66</v>
      </c>
      <c r="I414">
        <v>9.82</v>
      </c>
      <c r="J414">
        <v>4.1500000000000004</v>
      </c>
      <c r="K414">
        <v>9.84</v>
      </c>
      <c r="L414">
        <v>8.2100000000000009</v>
      </c>
      <c r="M414" s="33">
        <v>0.17749999999999999</v>
      </c>
      <c r="N414" s="33">
        <v>0.18629999999999999</v>
      </c>
      <c r="O414">
        <v>3.74</v>
      </c>
      <c r="P414" s="33">
        <v>0.22</v>
      </c>
      <c r="Q414" s="33">
        <v>0.26619999999999999</v>
      </c>
      <c r="R414" s="34">
        <v>15403700</v>
      </c>
      <c r="S414" s="34">
        <v>2205960000</v>
      </c>
      <c r="T414">
        <v>0.12</v>
      </c>
      <c r="U414" s="33">
        <v>0.24379999999999999</v>
      </c>
    </row>
    <row r="415" spans="1:21" x14ac:dyDescent="0.25">
      <c r="A415" t="s">
        <v>222</v>
      </c>
      <c r="B415">
        <v>1.19</v>
      </c>
      <c r="C415">
        <v>-0.26</v>
      </c>
      <c r="D415">
        <v>0.21</v>
      </c>
      <c r="E415">
        <v>3.4000000000000002E-2</v>
      </c>
      <c r="F415" s="33">
        <v>0</v>
      </c>
      <c r="G415">
        <v>4.1000000000000002E-2</v>
      </c>
      <c r="H415">
        <v>0.16</v>
      </c>
      <c r="I415">
        <v>-2.52</v>
      </c>
      <c r="J415">
        <v>-0.16</v>
      </c>
      <c r="K415">
        <v>-21.49</v>
      </c>
      <c r="L415">
        <v>19.87</v>
      </c>
      <c r="M415" s="33">
        <v>-1.3299999999999999E-2</v>
      </c>
      <c r="N415" s="33">
        <v>-0.1295</v>
      </c>
      <c r="O415">
        <v>1.85</v>
      </c>
      <c r="P415" s="33">
        <v>-2.3E-2</v>
      </c>
      <c r="Q415" s="33">
        <v>-0.79069999999999996</v>
      </c>
      <c r="R415" s="34">
        <v>2042140</v>
      </c>
      <c r="S415" s="34">
        <v>1868630000</v>
      </c>
      <c r="T415">
        <v>2.02</v>
      </c>
      <c r="U415" s="33">
        <v>0.1948</v>
      </c>
    </row>
    <row r="416" spans="1:21" x14ac:dyDescent="0.25">
      <c r="A416" t="s">
        <v>77</v>
      </c>
      <c r="B416">
        <v>42.54</v>
      </c>
      <c r="C416">
        <v>28.52</v>
      </c>
      <c r="D416">
        <v>8.39</v>
      </c>
      <c r="E416">
        <v>4.46</v>
      </c>
      <c r="F416" s="33">
        <v>1.84E-2</v>
      </c>
      <c r="G416">
        <v>4.5410000000000004</v>
      </c>
      <c r="H416">
        <v>17.16</v>
      </c>
      <c r="I416">
        <v>20.18</v>
      </c>
      <c r="J416">
        <v>22.25</v>
      </c>
      <c r="K416">
        <v>19.899999999999999</v>
      </c>
      <c r="L416">
        <v>18.11</v>
      </c>
      <c r="M416" s="33">
        <v>0.22109999999999999</v>
      </c>
      <c r="N416" s="33">
        <v>0.1643</v>
      </c>
      <c r="O416">
        <v>1.71</v>
      </c>
      <c r="P416" s="33">
        <v>0.29210000000000003</v>
      </c>
      <c r="Q416" s="33">
        <v>0.29420000000000002</v>
      </c>
      <c r="R416" s="34">
        <v>390416000</v>
      </c>
      <c r="S416" s="34">
        <v>21281600000</v>
      </c>
      <c r="T416">
        <v>0.15</v>
      </c>
      <c r="U416" s="33">
        <v>0.19350000000000001</v>
      </c>
    </row>
    <row r="417" spans="1:21" x14ac:dyDescent="0.25">
      <c r="A417" t="s">
        <v>84</v>
      </c>
      <c r="B417">
        <v>4.2</v>
      </c>
      <c r="C417">
        <v>-2.38</v>
      </c>
      <c r="D417">
        <v>0.21</v>
      </c>
      <c r="E417">
        <v>0.29099999999999998</v>
      </c>
      <c r="F417" s="33">
        <v>0</v>
      </c>
      <c r="G417">
        <v>0.156</v>
      </c>
      <c r="H417">
        <v>0.41</v>
      </c>
      <c r="I417">
        <v>-1.07</v>
      </c>
      <c r="J417">
        <v>0.49</v>
      </c>
      <c r="K417">
        <v>1.23</v>
      </c>
      <c r="L417">
        <v>2.0499999999999998</v>
      </c>
      <c r="M417" s="33">
        <v>-0.27200000000000002</v>
      </c>
      <c r="N417" s="33">
        <v>-0.12230000000000001</v>
      </c>
      <c r="O417">
        <v>2.91</v>
      </c>
      <c r="P417" s="33">
        <v>-0.2752</v>
      </c>
      <c r="Q417" s="33">
        <v>-8.8599999999999998E-2</v>
      </c>
      <c r="R417" s="34">
        <v>39407.4</v>
      </c>
      <c r="S417" s="34">
        <v>221569000</v>
      </c>
      <c r="T417">
        <v>0.05</v>
      </c>
      <c r="U417" s="33">
        <v>-0.12529999999999999</v>
      </c>
    </row>
    <row r="418" spans="1:21" x14ac:dyDescent="0.25">
      <c r="A418" t="s">
        <v>466</v>
      </c>
      <c r="B418">
        <v>4.49</v>
      </c>
      <c r="C418">
        <v>7.54</v>
      </c>
      <c r="D418">
        <v>2.46</v>
      </c>
      <c r="E418">
        <v>0.51200000000000001</v>
      </c>
      <c r="F418" s="33">
        <v>0.1326</v>
      </c>
      <c r="G418">
        <v>0.67100000000000004</v>
      </c>
      <c r="H418">
        <v>15.91</v>
      </c>
      <c r="I418">
        <v>5.83</v>
      </c>
      <c r="J418">
        <v>-17.55</v>
      </c>
      <c r="K418">
        <v>4.3099999999999996</v>
      </c>
      <c r="L418">
        <v>3.53</v>
      </c>
      <c r="M418" s="33">
        <v>8.7900000000000006E-2</v>
      </c>
      <c r="N418" s="33">
        <v>6.8099999999999994E-2</v>
      </c>
      <c r="O418">
        <v>1.07</v>
      </c>
      <c r="P418" s="33">
        <v>0.38919999999999999</v>
      </c>
      <c r="Q418" s="33">
        <v>0.32669999999999999</v>
      </c>
      <c r="R418" s="34">
        <v>18976</v>
      </c>
      <c r="S418" s="34">
        <v>2738890000</v>
      </c>
      <c r="T418">
        <v>0.41</v>
      </c>
      <c r="U418" s="33">
        <v>5.9700000000000003E-2</v>
      </c>
    </row>
    <row r="419" spans="1:21" x14ac:dyDescent="0.25">
      <c r="A419" t="s">
        <v>13</v>
      </c>
      <c r="B419">
        <v>4.8600000000000003</v>
      </c>
      <c r="C419">
        <v>8.16</v>
      </c>
      <c r="D419">
        <v>2.67</v>
      </c>
      <c r="E419">
        <v>0.55500000000000005</v>
      </c>
      <c r="F419" s="33">
        <v>0.1348</v>
      </c>
      <c r="G419">
        <v>0.72599999999999998</v>
      </c>
      <c r="H419">
        <v>17.22</v>
      </c>
      <c r="I419">
        <v>6.31</v>
      </c>
      <c r="J419">
        <v>-19</v>
      </c>
      <c r="K419">
        <v>4.79</v>
      </c>
      <c r="L419">
        <v>3.92</v>
      </c>
      <c r="M419" s="33">
        <v>8.7900000000000006E-2</v>
      </c>
      <c r="N419" s="33">
        <v>6.8099999999999994E-2</v>
      </c>
      <c r="O419">
        <v>1.07</v>
      </c>
      <c r="P419" s="33">
        <v>0.38919999999999999</v>
      </c>
      <c r="Q419" s="33">
        <v>0.32669999999999999</v>
      </c>
      <c r="R419" s="34">
        <v>34551</v>
      </c>
      <c r="S419" s="34">
        <v>2738890000</v>
      </c>
      <c r="T419">
        <v>0.41</v>
      </c>
      <c r="U419" s="33">
        <v>5.9700000000000003E-2</v>
      </c>
    </row>
    <row r="420" spans="1:21" x14ac:dyDescent="0.25">
      <c r="A420" t="s">
        <v>119</v>
      </c>
      <c r="B420">
        <v>7.2</v>
      </c>
      <c r="C420">
        <v>6.8</v>
      </c>
      <c r="D420">
        <v>1.94</v>
      </c>
      <c r="E420">
        <v>0.88200000000000001</v>
      </c>
      <c r="F420" s="33">
        <v>3.4799999999999998E-2</v>
      </c>
      <c r="G420">
        <v>0.45</v>
      </c>
      <c r="H420">
        <v>48.9</v>
      </c>
      <c r="I420">
        <v>1.77</v>
      </c>
      <c r="J420">
        <v>-1.6</v>
      </c>
      <c r="K420">
        <v>1.71</v>
      </c>
      <c r="L420">
        <v>1.45</v>
      </c>
      <c r="M420" s="33">
        <v>0.49940000000000001</v>
      </c>
      <c r="N420" s="33">
        <v>0.2402</v>
      </c>
      <c r="O420">
        <v>1.04</v>
      </c>
      <c r="P420" s="33">
        <v>0.33579999999999999</v>
      </c>
      <c r="Q420" s="33">
        <v>0.28539999999999999</v>
      </c>
      <c r="R420" s="34">
        <v>2879960</v>
      </c>
      <c r="S420" s="34">
        <v>593034000</v>
      </c>
      <c r="T420">
        <v>0.68</v>
      </c>
      <c r="U420" s="33">
        <v>0.12720000000000001</v>
      </c>
    </row>
    <row r="421" spans="1:21" x14ac:dyDescent="0.25">
      <c r="A421" t="s">
        <v>467</v>
      </c>
      <c r="B421">
        <v>24.61</v>
      </c>
      <c r="C421">
        <v>7.19</v>
      </c>
      <c r="D421">
        <v>1.1299999999999999</v>
      </c>
      <c r="E421">
        <v>0.29299999999999998</v>
      </c>
      <c r="F421" s="33">
        <v>5.96E-2</v>
      </c>
      <c r="G421">
        <v>0.628</v>
      </c>
      <c r="H421">
        <v>1.84</v>
      </c>
      <c r="I421">
        <v>5.12</v>
      </c>
      <c r="J421">
        <v>4.1900000000000004</v>
      </c>
      <c r="K421">
        <v>7.05</v>
      </c>
      <c r="L421">
        <v>6.8</v>
      </c>
      <c r="M421" s="33">
        <v>5.7299999999999997E-2</v>
      </c>
      <c r="N421" s="33">
        <v>4.0800000000000003E-2</v>
      </c>
      <c r="O421">
        <v>2.36</v>
      </c>
      <c r="P421" s="33">
        <v>0.1381</v>
      </c>
      <c r="Q421" s="33">
        <v>0.15690000000000001</v>
      </c>
      <c r="R421" s="34">
        <v>749.88</v>
      </c>
      <c r="S421" s="34">
        <v>794718000</v>
      </c>
      <c r="T421">
        <v>0.53</v>
      </c>
      <c r="U421" s="33">
        <v>0.26329999999999998</v>
      </c>
    </row>
    <row r="422" spans="1:21" x14ac:dyDescent="0.25">
      <c r="A422" t="s">
        <v>468</v>
      </c>
      <c r="B422">
        <v>29</v>
      </c>
      <c r="C422">
        <v>8.4700000000000006</v>
      </c>
      <c r="D422">
        <v>1.33</v>
      </c>
      <c r="E422">
        <v>0.34599999999999997</v>
      </c>
      <c r="F422" s="33">
        <v>5.5599999999999997E-2</v>
      </c>
      <c r="G422">
        <v>0.74</v>
      </c>
      <c r="H422">
        <v>2.17</v>
      </c>
      <c r="I422">
        <v>6.03</v>
      </c>
      <c r="J422">
        <v>4.9400000000000004</v>
      </c>
      <c r="K422">
        <v>7.96</v>
      </c>
      <c r="L422">
        <v>7.68</v>
      </c>
      <c r="M422" s="33">
        <v>5.7299999999999997E-2</v>
      </c>
      <c r="N422" s="33">
        <v>4.0800000000000003E-2</v>
      </c>
      <c r="O422">
        <v>2.36</v>
      </c>
      <c r="P422" s="33">
        <v>0.1381</v>
      </c>
      <c r="Q422" s="33">
        <v>0.15690000000000001</v>
      </c>
      <c r="R422" s="34">
        <v>27655.1</v>
      </c>
      <c r="S422" s="34">
        <v>794718000</v>
      </c>
      <c r="T422">
        <v>0.53</v>
      </c>
      <c r="U422" s="33">
        <v>0.26329999999999998</v>
      </c>
    </row>
    <row r="423" spans="1:21" x14ac:dyDescent="0.25">
      <c r="A423" t="s">
        <v>206</v>
      </c>
      <c r="B423">
        <v>17.47</v>
      </c>
      <c r="C423">
        <v>14.99</v>
      </c>
      <c r="D423">
        <v>1.54</v>
      </c>
      <c r="E423">
        <v>0.89100000000000001</v>
      </c>
      <c r="F423" s="33">
        <v>3.27E-2</v>
      </c>
      <c r="G423">
        <v>0.48699999999999999</v>
      </c>
      <c r="H423">
        <v>7.49</v>
      </c>
      <c r="I423">
        <v>5.5</v>
      </c>
      <c r="J423">
        <v>-1.1100000000000001</v>
      </c>
      <c r="K423">
        <v>10.59</v>
      </c>
      <c r="L423">
        <v>5.45</v>
      </c>
      <c r="M423" s="33">
        <v>0.16200000000000001</v>
      </c>
      <c r="N423" s="33">
        <v>5.9400000000000001E-2</v>
      </c>
      <c r="O423">
        <v>1.36</v>
      </c>
      <c r="P423" s="33">
        <v>0.1003</v>
      </c>
      <c r="Q423" s="33">
        <v>0.10290000000000001</v>
      </c>
      <c r="R423" s="34">
        <v>75823500</v>
      </c>
      <c r="S423" s="34">
        <v>3103980000</v>
      </c>
      <c r="T423">
        <v>1.73</v>
      </c>
      <c r="U423" s="33">
        <v>7.7600000000000002E-2</v>
      </c>
    </row>
    <row r="424" spans="1:21" x14ac:dyDescent="0.25">
      <c r="A424" t="s">
        <v>243</v>
      </c>
      <c r="B424">
        <v>3.41</v>
      </c>
      <c r="C424">
        <v>-9.6300000000000008</v>
      </c>
      <c r="D424">
        <v>0.91</v>
      </c>
      <c r="E424">
        <v>0.29599999999999999</v>
      </c>
      <c r="F424" s="33">
        <v>0</v>
      </c>
      <c r="G424">
        <v>0.31900000000000001</v>
      </c>
      <c r="H424">
        <v>11.44</v>
      </c>
      <c r="I424">
        <v>-885.25</v>
      </c>
      <c r="J424">
        <v>-0.76</v>
      </c>
      <c r="K424" s="34">
        <v>-1359.6</v>
      </c>
      <c r="L424">
        <v>4.33</v>
      </c>
      <c r="M424" s="33">
        <v>-2.9999999999999997E-4</v>
      </c>
      <c r="N424" s="33">
        <v>-3.0700000000000002E-2</v>
      </c>
      <c r="O424">
        <v>1.1399999999999999</v>
      </c>
      <c r="P424" s="33">
        <v>-4.0000000000000002E-4</v>
      </c>
      <c r="Q424" s="33">
        <v>-9.4799999999999995E-2</v>
      </c>
      <c r="R424" s="34">
        <v>3545860</v>
      </c>
      <c r="S424" s="34">
        <v>1519080000</v>
      </c>
      <c r="T424">
        <v>0.74</v>
      </c>
      <c r="U424" s="33">
        <v>0.2024</v>
      </c>
    </row>
    <row r="425" spans="1:21" x14ac:dyDescent="0.25">
      <c r="F425" s="33"/>
      <c r="M425" s="33"/>
      <c r="N425" s="33"/>
      <c r="P425" s="33"/>
      <c r="Q425" s="33"/>
      <c r="R425" s="34"/>
      <c r="S425" s="34"/>
      <c r="U425" s="33"/>
    </row>
    <row r="426" spans="1:21" x14ac:dyDescent="0.25">
      <c r="F426" s="33"/>
      <c r="K426" s="34"/>
      <c r="M426" s="33"/>
      <c r="N426" s="33"/>
      <c r="P426" s="33"/>
      <c r="Q426" s="33"/>
      <c r="R426" s="34"/>
      <c r="S426" s="34"/>
      <c r="U426" s="33"/>
    </row>
  </sheetData>
  <autoFilter ref="A1:U1" xr:uid="{3BAA95AD-4DCA-4F23-B841-B8419749550B}"/>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K9"/>
  <sheetViews>
    <sheetView workbookViewId="0">
      <selection activeCell="M11" sqref="M11:M12"/>
    </sheetView>
  </sheetViews>
  <sheetFormatPr defaultRowHeight="15" x14ac:dyDescent="0.25"/>
  <cols>
    <col min="1" max="1" width="15.140625" customWidth="1"/>
    <col min="2" max="6" width="11.7109375" bestFit="1" customWidth="1"/>
    <col min="7" max="7" width="14.42578125" bestFit="1" customWidth="1"/>
    <col min="8" max="8" width="12.85546875" customWidth="1"/>
    <col min="9" max="9" width="12.5703125" customWidth="1"/>
    <col min="10" max="11" width="12.7109375" bestFit="1" customWidth="1"/>
  </cols>
  <sheetData>
    <row r="1" spans="1:11" x14ac:dyDescent="0.25">
      <c r="B1" s="26">
        <v>45793</v>
      </c>
      <c r="C1" s="26">
        <v>45794</v>
      </c>
      <c r="D1" s="26">
        <v>45796</v>
      </c>
      <c r="E1" s="26">
        <v>45797</v>
      </c>
      <c r="F1" s="26">
        <v>45798</v>
      </c>
      <c r="G1" s="26">
        <v>45800</v>
      </c>
      <c r="H1" s="26">
        <v>45807</v>
      </c>
      <c r="I1" s="26">
        <v>45814</v>
      </c>
      <c r="J1" s="88">
        <v>45820</v>
      </c>
      <c r="K1" s="88">
        <v>45821</v>
      </c>
    </row>
    <row r="2" spans="1:11" x14ac:dyDescent="0.25">
      <c r="A2" s="35" t="s">
        <v>515</v>
      </c>
      <c r="B2" s="27">
        <v>0</v>
      </c>
      <c r="C2" s="27">
        <v>0</v>
      </c>
      <c r="D2" s="27">
        <v>0</v>
      </c>
      <c r="E2" s="27">
        <v>0</v>
      </c>
      <c r="F2" s="27">
        <v>0</v>
      </c>
      <c r="G2" s="27">
        <v>0</v>
      </c>
      <c r="H2" s="27">
        <v>0</v>
      </c>
      <c r="I2" s="27">
        <v>0</v>
      </c>
      <c r="J2" s="27">
        <v>270772.78999999998</v>
      </c>
      <c r="K2" s="27">
        <v>269699.55</v>
      </c>
    </row>
    <row r="3" spans="1:11" x14ac:dyDescent="0.25">
      <c r="A3" s="35" t="s">
        <v>514</v>
      </c>
      <c r="B3" s="27">
        <v>0</v>
      </c>
      <c r="C3" s="27">
        <v>0</v>
      </c>
      <c r="D3" s="27">
        <v>0</v>
      </c>
      <c r="E3" s="27">
        <v>0</v>
      </c>
      <c r="F3" s="27">
        <v>0</v>
      </c>
      <c r="G3" s="27">
        <v>0</v>
      </c>
      <c r="H3" s="27">
        <v>0</v>
      </c>
      <c r="I3" s="27">
        <v>0</v>
      </c>
      <c r="J3" s="27">
        <v>11996.49</v>
      </c>
      <c r="K3" s="27">
        <v>12001.51</v>
      </c>
    </row>
    <row r="4" spans="1:11" x14ac:dyDescent="0.25">
      <c r="A4" s="35" t="s">
        <v>287</v>
      </c>
      <c r="B4" s="27">
        <v>12592</v>
      </c>
      <c r="C4" s="27">
        <v>8535</v>
      </c>
      <c r="D4" s="27">
        <v>8538.39</v>
      </c>
      <c r="E4" s="27">
        <v>8542.33</v>
      </c>
      <c r="F4" s="27">
        <v>18111.27</v>
      </c>
      <c r="G4" s="27">
        <v>19433.509999999998</v>
      </c>
      <c r="H4" s="27">
        <v>16565.099999999999</v>
      </c>
      <c r="I4" s="27">
        <v>15411.17</v>
      </c>
      <c r="J4" s="27">
        <v>13472.7</v>
      </c>
      <c r="K4" s="27">
        <v>13252.75</v>
      </c>
    </row>
    <row r="5" spans="1:11" x14ac:dyDescent="0.25">
      <c r="A5" s="35" t="s">
        <v>286</v>
      </c>
      <c r="B5" s="27">
        <v>6749.7000000000007</v>
      </c>
      <c r="C5" s="27">
        <v>10815.06</v>
      </c>
      <c r="D5" s="27">
        <v>10811.619999999999</v>
      </c>
      <c r="E5" s="27">
        <v>10802.310000000001</v>
      </c>
      <c r="F5" s="27">
        <v>1196.8900000000001</v>
      </c>
      <c r="G5" s="27">
        <v>0</v>
      </c>
      <c r="H5" s="27">
        <v>2993.93</v>
      </c>
      <c r="I5" s="27">
        <v>7735</v>
      </c>
      <c r="J5" s="27">
        <v>9852.2900000000009</v>
      </c>
      <c r="K5" s="27">
        <v>9718.76</v>
      </c>
    </row>
    <row r="6" spans="1:11" x14ac:dyDescent="0.25">
      <c r="A6" s="35" t="s">
        <v>518</v>
      </c>
      <c r="B6" s="27">
        <v>0</v>
      </c>
      <c r="C6" s="27">
        <v>0</v>
      </c>
      <c r="D6" s="27">
        <v>0</v>
      </c>
      <c r="E6" s="27">
        <v>0</v>
      </c>
      <c r="F6" s="27">
        <v>0</v>
      </c>
      <c r="G6" s="27">
        <v>0</v>
      </c>
      <c r="H6" s="27">
        <v>0</v>
      </c>
      <c r="I6" s="27">
        <v>0</v>
      </c>
      <c r="J6" s="27">
        <v>250</v>
      </c>
      <c r="K6" s="27">
        <v>1364.32</v>
      </c>
    </row>
    <row r="7" spans="1:11" x14ac:dyDescent="0.25">
      <c r="A7" s="35" t="s">
        <v>519</v>
      </c>
      <c r="B7" s="27">
        <v>0</v>
      </c>
      <c r="C7" s="27">
        <v>0</v>
      </c>
      <c r="D7" s="27">
        <v>0</v>
      </c>
      <c r="E7" s="27">
        <v>0</v>
      </c>
      <c r="F7" s="27">
        <v>0</v>
      </c>
      <c r="G7" s="27">
        <v>0</v>
      </c>
      <c r="H7" s="27">
        <v>0</v>
      </c>
      <c r="I7" s="27">
        <v>0</v>
      </c>
      <c r="J7" s="27">
        <v>0</v>
      </c>
      <c r="K7" s="27">
        <v>0</v>
      </c>
    </row>
    <row r="8" spans="1:11" x14ac:dyDescent="0.25">
      <c r="A8" s="35" t="s">
        <v>516</v>
      </c>
      <c r="B8" s="27">
        <v>0</v>
      </c>
      <c r="C8" s="27">
        <v>0</v>
      </c>
      <c r="D8" s="27">
        <v>0</v>
      </c>
      <c r="E8" s="27">
        <v>0</v>
      </c>
      <c r="F8" s="27">
        <v>0</v>
      </c>
      <c r="G8" s="27">
        <v>0</v>
      </c>
      <c r="H8" s="27">
        <v>0</v>
      </c>
      <c r="I8" s="27">
        <v>0</v>
      </c>
      <c r="J8" s="27">
        <v>0</v>
      </c>
      <c r="K8" s="27">
        <v>0</v>
      </c>
    </row>
    <row r="9" spans="1:11" x14ac:dyDescent="0.25">
      <c r="B9" s="87" t="s">
        <v>517</v>
      </c>
      <c r="C9" s="87" t="s">
        <v>517</v>
      </c>
      <c r="D9" s="87" t="s">
        <v>517</v>
      </c>
      <c r="E9" s="87" t="s">
        <v>517</v>
      </c>
      <c r="F9" s="87" t="s">
        <v>517</v>
      </c>
      <c r="G9" s="87" t="s">
        <v>517</v>
      </c>
      <c r="H9" s="87" t="s">
        <v>517</v>
      </c>
      <c r="I9" s="87" t="s">
        <v>517</v>
      </c>
      <c r="J9" s="86">
        <f>SUM(J2:J8)</f>
        <v>306344.26999999996</v>
      </c>
      <c r="K9" s="86">
        <f>SUM(K2:K8)</f>
        <v>306036.89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6"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8"/>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30">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Bovespa</vt:lpstr>
      <vt:lpstr>Streamlit</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2025-06-14T21:05:50Z</dcterms:modified>
</cp:coreProperties>
</file>